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o\Desktop\RPG\Mass Effect\"/>
    </mc:Choice>
  </mc:AlternateContent>
  <xr:revisionPtr revIDLastSave="0" documentId="13_ncr:1_{79C70326-9E55-452A-A7D0-65660EB77781}" xr6:coauthVersionLast="36" xr6:coauthVersionMax="36" xr10:uidLastSave="{00000000-0000-0000-0000-000000000000}"/>
  <bookViews>
    <workbookView xWindow="240" yWindow="105" windowWidth="19440" windowHeight="10005" tabRatio="819" xr2:uid="{00000000-000D-0000-FFFF-FFFF00000000}"/>
  </bookViews>
  <sheets>
    <sheet name="General" sheetId="1" r:id="rId1"/>
    <sheet name="Skills" sheetId="2" r:id="rId2"/>
    <sheet name="Feats" sheetId="4" r:id="rId3"/>
    <sheet name="Equipment" sheetId="3" r:id="rId4"/>
    <sheet name="Abilities and Languages" sheetId="6" r:id="rId5"/>
    <sheet name="Combat Powers" sheetId="15" r:id="rId6"/>
    <sheet name="Biotic Powers" sheetId="14" r:id="rId7"/>
    <sheet name="Tech Powers" sheetId="17" r:id="rId8"/>
    <sheet name="Ammo Powers" sheetId="16" r:id="rId9"/>
    <sheet name="Vehicle-Ship" sheetId="1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22" i="1" l="1"/>
  <c r="L92" i="1" l="1"/>
  <c r="L80" i="1"/>
  <c r="L68" i="1"/>
  <c r="L56" i="1"/>
  <c r="D44" i="1" l="1"/>
  <c r="D56" i="1" l="1"/>
  <c r="D68" i="1" s="1"/>
  <c r="D80" i="1" s="1"/>
  <c r="D92" i="1" s="1"/>
  <c r="L44" i="1"/>
  <c r="AQ44" i="1" l="1"/>
  <c r="W80" i="15" l="1"/>
  <c r="V80" i="15"/>
  <c r="U80" i="15"/>
  <c r="T80" i="15"/>
  <c r="S80" i="15"/>
  <c r="R80" i="15"/>
  <c r="Q80" i="15"/>
  <c r="P80" i="15"/>
  <c r="O80" i="15"/>
  <c r="K77" i="15"/>
  <c r="J77" i="15"/>
  <c r="I77" i="15"/>
  <c r="H77" i="15"/>
  <c r="G77" i="15"/>
  <c r="F77" i="15"/>
  <c r="E77" i="15"/>
  <c r="D77" i="15"/>
  <c r="C77" i="15"/>
  <c r="K6" i="2" l="1"/>
  <c r="V6" i="2"/>
  <c r="AM39" i="1" l="1"/>
  <c r="Q105" i="15" l="1"/>
  <c r="P105" i="15"/>
  <c r="O105" i="15"/>
  <c r="W104" i="15"/>
  <c r="V104" i="15"/>
  <c r="U104" i="15"/>
  <c r="T104" i="15"/>
  <c r="S104" i="15"/>
  <c r="R104" i="15"/>
  <c r="Q104" i="15"/>
  <c r="P104" i="15"/>
  <c r="O104" i="15"/>
  <c r="K46" i="15"/>
  <c r="J46" i="15"/>
  <c r="I46" i="15"/>
  <c r="H46" i="15"/>
  <c r="G46" i="15"/>
  <c r="F46" i="15"/>
  <c r="E46" i="15"/>
  <c r="D46" i="15"/>
  <c r="C46" i="15"/>
  <c r="R101" i="17"/>
  <c r="Y101" i="17"/>
  <c r="X101" i="17"/>
  <c r="W101" i="17"/>
  <c r="V101" i="17"/>
  <c r="U101" i="17"/>
  <c r="T101" i="17"/>
  <c r="S101" i="17"/>
  <c r="Q101" i="17"/>
  <c r="M111" i="17"/>
  <c r="L111" i="17"/>
  <c r="K111" i="17"/>
  <c r="J111" i="17"/>
  <c r="I111" i="17"/>
  <c r="H111" i="17"/>
  <c r="G111" i="17"/>
  <c r="E111" i="17"/>
  <c r="C111" i="17"/>
  <c r="M9" i="14"/>
  <c r="L9" i="14"/>
  <c r="K9" i="14"/>
  <c r="J9" i="14"/>
  <c r="I9" i="14"/>
  <c r="H9" i="14"/>
  <c r="G9" i="14"/>
  <c r="E9" i="14"/>
  <c r="C9" i="14"/>
  <c r="ET25" i="1" l="1"/>
  <c r="ET29" i="1" l="1"/>
  <c r="ET28" i="1"/>
  <c r="ET27" i="1"/>
  <c r="ET26" i="1"/>
  <c r="ET9" i="1"/>
  <c r="ET11" i="1"/>
  <c r="ET12" i="1"/>
  <c r="ET13" i="1"/>
  <c r="ET14" i="1"/>
  <c r="ET24" i="1"/>
  <c r="EB75" i="1"/>
  <c r="EH75" i="1" s="1"/>
  <c r="EC75" i="1"/>
  <c r="ED75" i="1"/>
  <c r="EE75" i="1"/>
  <c r="EF75" i="1"/>
  <c r="EG75" i="1"/>
  <c r="EB76" i="1"/>
  <c r="EH76" i="1" s="1"/>
  <c r="EC76" i="1"/>
  <c r="ED76" i="1"/>
  <c r="EE76" i="1"/>
  <c r="EF76" i="1"/>
  <c r="EG76" i="1"/>
  <c r="EB77" i="1"/>
  <c r="EH77" i="1" s="1"/>
  <c r="EC77" i="1"/>
  <c r="ED77" i="1"/>
  <c r="EE77" i="1"/>
  <c r="EF77" i="1"/>
  <c r="EG77" i="1"/>
  <c r="EB56" i="1"/>
  <c r="EC56" i="1"/>
  <c r="ED56" i="1"/>
  <c r="EE56" i="1"/>
  <c r="EF56" i="1"/>
  <c r="EG56" i="1"/>
  <c r="EB57" i="1"/>
  <c r="EC57" i="1"/>
  <c r="ED57" i="1"/>
  <c r="EE57" i="1"/>
  <c r="EF57" i="1"/>
  <c r="EG57" i="1"/>
  <c r="EB58" i="1"/>
  <c r="EC58" i="1"/>
  <c r="ED58" i="1"/>
  <c r="EE58" i="1"/>
  <c r="EF58" i="1"/>
  <c r="EG58" i="1"/>
  <c r="EB59" i="1"/>
  <c r="EC59" i="1"/>
  <c r="ED59" i="1"/>
  <c r="EE59" i="1"/>
  <c r="EF59" i="1"/>
  <c r="EG59" i="1"/>
  <c r="EB60" i="1"/>
  <c r="EC60" i="1"/>
  <c r="ED60" i="1"/>
  <c r="EE60" i="1"/>
  <c r="EF60" i="1"/>
  <c r="EG60" i="1"/>
  <c r="EB61" i="1"/>
  <c r="EC61" i="1"/>
  <c r="ED61" i="1"/>
  <c r="EE61" i="1"/>
  <c r="EF61" i="1"/>
  <c r="EG61" i="1"/>
  <c r="EB62" i="1"/>
  <c r="EC62" i="1"/>
  <c r="ED62" i="1"/>
  <c r="EE62" i="1"/>
  <c r="EF62" i="1"/>
  <c r="EG62" i="1"/>
  <c r="EB63" i="1"/>
  <c r="EC63" i="1"/>
  <c r="ED63" i="1"/>
  <c r="EE63" i="1"/>
  <c r="EF63" i="1"/>
  <c r="EG63" i="1"/>
  <c r="EB64" i="1"/>
  <c r="EC64" i="1"/>
  <c r="ED64" i="1"/>
  <c r="EE64" i="1"/>
  <c r="EF64" i="1"/>
  <c r="EG64" i="1"/>
  <c r="EB65" i="1"/>
  <c r="EC65" i="1"/>
  <c r="ED65" i="1"/>
  <c r="EE65" i="1"/>
  <c r="EF65" i="1"/>
  <c r="EG65" i="1"/>
  <c r="EB66" i="1"/>
  <c r="EC66" i="1"/>
  <c r="ED66" i="1"/>
  <c r="EE66" i="1"/>
  <c r="EF66" i="1"/>
  <c r="EG66" i="1"/>
  <c r="EB67" i="1"/>
  <c r="EC67" i="1"/>
  <c r="ED67" i="1"/>
  <c r="EE67" i="1"/>
  <c r="EF67" i="1"/>
  <c r="EG67" i="1"/>
  <c r="EB68" i="1"/>
  <c r="EC68" i="1"/>
  <c r="ED68" i="1"/>
  <c r="EE68" i="1"/>
  <c r="EF68" i="1"/>
  <c r="EG68" i="1"/>
  <c r="EB69" i="1"/>
  <c r="EC69" i="1"/>
  <c r="ED69" i="1"/>
  <c r="EE69" i="1"/>
  <c r="EF69" i="1"/>
  <c r="EG69" i="1"/>
  <c r="EB70" i="1"/>
  <c r="EC70" i="1"/>
  <c r="ED70" i="1"/>
  <c r="EE70" i="1"/>
  <c r="EF70" i="1"/>
  <c r="EG70" i="1"/>
  <c r="EB71" i="1"/>
  <c r="EC71" i="1"/>
  <c r="ED71" i="1"/>
  <c r="EE71" i="1"/>
  <c r="EF71" i="1"/>
  <c r="EG71" i="1"/>
  <c r="EB72" i="1"/>
  <c r="EH72" i="1" s="1"/>
  <c r="EC72" i="1"/>
  <c r="ED72" i="1"/>
  <c r="EE72" i="1"/>
  <c r="EF72" i="1"/>
  <c r="EG72" i="1"/>
  <c r="EB73" i="1"/>
  <c r="EK73" i="1" s="1"/>
  <c r="EC73" i="1"/>
  <c r="ED73" i="1"/>
  <c r="EE73" i="1"/>
  <c r="EF73" i="1"/>
  <c r="EG73" i="1"/>
  <c r="EB74" i="1"/>
  <c r="EL74" i="1" s="1"/>
  <c r="EC74" i="1"/>
  <c r="ED74" i="1"/>
  <c r="EE74" i="1"/>
  <c r="EF74" i="1"/>
  <c r="EG74" i="1"/>
  <c r="ED55" i="1"/>
  <c r="EE55" i="1"/>
  <c r="EF55" i="1"/>
  <c r="EG55" i="1"/>
  <c r="EC55" i="1"/>
  <c r="EB55" i="1"/>
  <c r="EB29" i="1"/>
  <c r="EC29" i="1"/>
  <c r="ED29" i="1"/>
  <c r="EE29" i="1"/>
  <c r="EF29" i="1"/>
  <c r="EG29" i="1"/>
  <c r="EB30" i="1"/>
  <c r="EC30" i="1"/>
  <c r="ED30" i="1"/>
  <c r="EE30" i="1"/>
  <c r="EF30" i="1"/>
  <c r="EG30" i="1"/>
  <c r="EB31" i="1"/>
  <c r="EC31" i="1"/>
  <c r="ED31" i="1"/>
  <c r="EE31" i="1"/>
  <c r="EF31" i="1"/>
  <c r="EG31" i="1"/>
  <c r="EB32" i="1"/>
  <c r="EC32" i="1"/>
  <c r="ED32" i="1"/>
  <c r="EE32" i="1"/>
  <c r="EF32" i="1"/>
  <c r="EG32" i="1"/>
  <c r="EB33" i="1"/>
  <c r="EC33" i="1"/>
  <c r="ED33" i="1"/>
  <c r="EE33" i="1"/>
  <c r="EF33" i="1"/>
  <c r="EG33" i="1"/>
  <c r="EB34" i="1"/>
  <c r="EC34" i="1"/>
  <c r="ED34" i="1"/>
  <c r="EE34" i="1"/>
  <c r="EF34" i="1"/>
  <c r="EG34" i="1"/>
  <c r="EB35" i="1"/>
  <c r="EC35" i="1"/>
  <c r="ED35" i="1"/>
  <c r="EE35" i="1"/>
  <c r="EF35" i="1"/>
  <c r="EG35" i="1"/>
  <c r="EB36" i="1"/>
  <c r="EC36" i="1"/>
  <c r="ED36" i="1"/>
  <c r="EE36" i="1"/>
  <c r="EF36" i="1"/>
  <c r="EG36" i="1"/>
  <c r="EB37" i="1"/>
  <c r="EC37" i="1"/>
  <c r="ED37" i="1"/>
  <c r="EE37" i="1"/>
  <c r="EF37" i="1"/>
  <c r="EG37" i="1"/>
  <c r="EB38" i="1"/>
  <c r="EC38" i="1"/>
  <c r="ED38" i="1"/>
  <c r="EE38" i="1"/>
  <c r="EF38" i="1"/>
  <c r="EG38" i="1"/>
  <c r="EB39" i="1"/>
  <c r="EC39" i="1"/>
  <c r="ED39" i="1"/>
  <c r="EE39" i="1"/>
  <c r="EF39" i="1"/>
  <c r="EG39" i="1"/>
  <c r="EB40" i="1"/>
  <c r="EC40" i="1"/>
  <c r="ED40" i="1"/>
  <c r="EE40" i="1"/>
  <c r="EF40" i="1"/>
  <c r="EG40" i="1"/>
  <c r="EB41" i="1"/>
  <c r="EC41" i="1"/>
  <c r="ED41" i="1"/>
  <c r="EE41" i="1"/>
  <c r="EF41" i="1"/>
  <c r="EG41" i="1"/>
  <c r="EB42" i="1"/>
  <c r="EC42" i="1"/>
  <c r="ED42" i="1"/>
  <c r="EE42" i="1"/>
  <c r="EF42" i="1"/>
  <c r="EG42" i="1"/>
  <c r="EB43" i="1"/>
  <c r="EC43" i="1"/>
  <c r="ED43" i="1"/>
  <c r="EE43" i="1"/>
  <c r="EF43" i="1"/>
  <c r="EG43" i="1"/>
  <c r="EB44" i="1"/>
  <c r="EC44" i="1"/>
  <c r="ED44" i="1"/>
  <c r="EE44" i="1"/>
  <c r="EF44" i="1"/>
  <c r="EG44" i="1"/>
  <c r="EB45" i="1"/>
  <c r="EC45" i="1"/>
  <c r="ED45" i="1"/>
  <c r="EE45" i="1"/>
  <c r="EF45" i="1"/>
  <c r="EG45" i="1"/>
  <c r="EB46" i="1"/>
  <c r="EL46" i="1" s="1"/>
  <c r="EC46" i="1"/>
  <c r="ED46" i="1"/>
  <c r="EE46" i="1"/>
  <c r="EF46" i="1"/>
  <c r="EG46" i="1"/>
  <c r="EB47" i="1"/>
  <c r="EH47" i="1" s="1"/>
  <c r="EC47" i="1"/>
  <c r="ED47" i="1"/>
  <c r="EE47" i="1"/>
  <c r="EF47" i="1"/>
  <c r="EG47" i="1"/>
  <c r="EB48" i="1"/>
  <c r="EK48" i="1" s="1"/>
  <c r="EC48" i="1"/>
  <c r="ED48" i="1"/>
  <c r="EE48" i="1"/>
  <c r="EF48" i="1"/>
  <c r="EG48" i="1"/>
  <c r="EB49" i="1"/>
  <c r="EH49" i="1" s="1"/>
  <c r="EC49" i="1"/>
  <c r="ED49" i="1"/>
  <c r="EE49" i="1"/>
  <c r="EF49" i="1"/>
  <c r="EG49" i="1"/>
  <c r="EB50" i="1"/>
  <c r="EH50" i="1" s="1"/>
  <c r="EC50" i="1"/>
  <c r="ED50" i="1"/>
  <c r="EE50" i="1"/>
  <c r="EF50" i="1"/>
  <c r="EG50" i="1"/>
  <c r="EB51" i="1"/>
  <c r="EI51" i="1" s="1"/>
  <c r="EC51" i="1"/>
  <c r="ED51" i="1"/>
  <c r="EE51" i="1"/>
  <c r="EF51" i="1"/>
  <c r="EG51" i="1"/>
  <c r="ED28" i="1"/>
  <c r="EE28" i="1"/>
  <c r="EF28" i="1"/>
  <c r="EG28" i="1"/>
  <c r="EC28" i="1"/>
  <c r="EB28" i="1"/>
  <c r="ED6" i="1"/>
  <c r="EE6" i="1"/>
  <c r="EF6" i="1"/>
  <c r="EG6" i="1"/>
  <c r="ED7" i="1"/>
  <c r="EE7" i="1"/>
  <c r="EF7" i="1"/>
  <c r="EG7" i="1"/>
  <c r="ED8" i="1"/>
  <c r="EE8" i="1"/>
  <c r="EF8" i="1"/>
  <c r="EG8" i="1"/>
  <c r="ED9" i="1"/>
  <c r="EE9" i="1"/>
  <c r="EF9" i="1"/>
  <c r="EG9" i="1"/>
  <c r="ED10" i="1"/>
  <c r="EE10" i="1"/>
  <c r="EF10" i="1"/>
  <c r="EG10" i="1"/>
  <c r="ED11" i="1"/>
  <c r="EE11" i="1"/>
  <c r="EF11" i="1"/>
  <c r="EG11" i="1"/>
  <c r="ED12" i="1"/>
  <c r="EE12" i="1"/>
  <c r="EF12" i="1"/>
  <c r="EG12" i="1"/>
  <c r="ED13" i="1"/>
  <c r="EE13" i="1"/>
  <c r="EF13" i="1"/>
  <c r="EG13" i="1"/>
  <c r="ED14" i="1"/>
  <c r="EE14" i="1"/>
  <c r="EF14" i="1"/>
  <c r="EG14" i="1"/>
  <c r="ED15" i="1"/>
  <c r="EE15" i="1"/>
  <c r="EF15" i="1"/>
  <c r="EG15" i="1"/>
  <c r="ED16" i="1"/>
  <c r="EE16" i="1"/>
  <c r="EF16" i="1"/>
  <c r="EG16" i="1"/>
  <c r="ED17" i="1"/>
  <c r="EE17" i="1"/>
  <c r="EF17" i="1"/>
  <c r="EG17" i="1"/>
  <c r="ED18" i="1"/>
  <c r="EE18" i="1"/>
  <c r="EF18" i="1"/>
  <c r="EG18" i="1"/>
  <c r="ED19" i="1"/>
  <c r="EE19" i="1"/>
  <c r="EF19" i="1"/>
  <c r="EG19" i="1"/>
  <c r="ED20" i="1"/>
  <c r="EE20" i="1"/>
  <c r="EF20" i="1"/>
  <c r="EG20" i="1"/>
  <c r="ED21" i="1"/>
  <c r="EE21" i="1"/>
  <c r="EF21" i="1"/>
  <c r="EG21" i="1"/>
  <c r="ED22" i="1"/>
  <c r="EE22" i="1"/>
  <c r="EF22" i="1"/>
  <c r="EG22" i="1"/>
  <c r="ED23" i="1"/>
  <c r="EE23" i="1"/>
  <c r="EF23" i="1"/>
  <c r="EG23" i="1"/>
  <c r="ED24" i="1"/>
  <c r="EE24" i="1"/>
  <c r="EF24" i="1"/>
  <c r="EG24" i="1"/>
  <c r="EE5" i="1"/>
  <c r="EF5" i="1"/>
  <c r="EG5" i="1"/>
  <c r="ED5" i="1"/>
  <c r="EC6" i="1"/>
  <c r="EC7" i="1"/>
  <c r="EC8" i="1"/>
  <c r="EC9" i="1"/>
  <c r="EC10" i="1"/>
  <c r="EC11" i="1"/>
  <c r="EC12" i="1"/>
  <c r="EC13" i="1"/>
  <c r="EC14" i="1"/>
  <c r="EC15" i="1"/>
  <c r="EC16" i="1"/>
  <c r="EC17" i="1"/>
  <c r="EC18" i="1"/>
  <c r="EC19" i="1"/>
  <c r="EC20" i="1"/>
  <c r="EC21" i="1"/>
  <c r="EC22" i="1"/>
  <c r="EC23" i="1"/>
  <c r="EC24" i="1"/>
  <c r="EC5" i="1"/>
  <c r="EB6" i="1"/>
  <c r="ET6" i="1" s="1"/>
  <c r="EB7" i="1"/>
  <c r="ET7" i="1" s="1"/>
  <c r="EB8" i="1"/>
  <c r="ET8" i="1" s="1"/>
  <c r="EB9" i="1"/>
  <c r="EB10" i="1"/>
  <c r="ET10" i="1" s="1"/>
  <c r="EB11" i="1"/>
  <c r="EB12" i="1"/>
  <c r="EB13" i="1"/>
  <c r="EB14" i="1"/>
  <c r="EB15" i="1"/>
  <c r="ET15" i="1" s="1"/>
  <c r="EB16" i="1"/>
  <c r="ET16" i="1" s="1"/>
  <c r="EB17" i="1"/>
  <c r="ET17" i="1" s="1"/>
  <c r="EB18" i="1"/>
  <c r="ET18" i="1" s="1"/>
  <c r="EB19" i="1"/>
  <c r="ET19" i="1" s="1"/>
  <c r="EB20" i="1"/>
  <c r="ET20" i="1" s="1"/>
  <c r="EB21" i="1"/>
  <c r="EH21" i="1" s="1"/>
  <c r="EB22" i="1"/>
  <c r="EH22" i="1" s="1"/>
  <c r="EB23" i="1"/>
  <c r="EI23" i="1" s="1"/>
  <c r="EB24" i="1"/>
  <c r="EH24" i="1" s="1"/>
  <c r="EB5" i="1"/>
  <c r="ET5" i="1" s="1"/>
  <c r="EK77" i="1" l="1"/>
  <c r="EJ77" i="1"/>
  <c r="EL49" i="1"/>
  <c r="EI24" i="1"/>
  <c r="EL24" i="1"/>
  <c r="EJ24" i="1"/>
  <c r="EK24" i="1"/>
  <c r="EH51" i="1"/>
  <c r="EJ48" i="1"/>
  <c r="EL77" i="1"/>
  <c r="EK74" i="1"/>
  <c r="EK49" i="1"/>
  <c r="EH48" i="1"/>
  <c r="EI74" i="1"/>
  <c r="EJ74" i="1"/>
  <c r="EJ49" i="1"/>
  <c r="EL47" i="1"/>
  <c r="EI77" i="1"/>
  <c r="EH74" i="1"/>
  <c r="EL51" i="1"/>
  <c r="EI49" i="1"/>
  <c r="EK47" i="1"/>
  <c r="EL72" i="1"/>
  <c r="EK51" i="1"/>
  <c r="EI47" i="1"/>
  <c r="EK76" i="1"/>
  <c r="EJ72" i="1"/>
  <c r="EJ51" i="1"/>
  <c r="EL48" i="1"/>
  <c r="EI76" i="1"/>
  <c r="EI48" i="1"/>
  <c r="EL76" i="1"/>
  <c r="EJ76" i="1"/>
  <c r="EL75" i="1"/>
  <c r="EK75" i="1"/>
  <c r="EJ75" i="1"/>
  <c r="EI75" i="1"/>
  <c r="EH73" i="1"/>
  <c r="EI73" i="1"/>
  <c r="EJ73" i="1"/>
  <c r="EL73" i="1"/>
  <c r="EK72" i="1"/>
  <c r="EI72" i="1"/>
  <c r="EL50" i="1"/>
  <c r="EK50" i="1"/>
  <c r="EJ50" i="1"/>
  <c r="EI50" i="1"/>
  <c r="EJ47" i="1"/>
  <c r="EK46" i="1"/>
  <c r="EJ46" i="1"/>
  <c r="EI46" i="1"/>
  <c r="EH46" i="1"/>
  <c r="EL23" i="1"/>
  <c r="EH23" i="1"/>
  <c r="EK23" i="1"/>
  <c r="ET23" i="1"/>
  <c r="EJ23" i="1"/>
  <c r="EL22" i="1"/>
  <c r="EK22" i="1"/>
  <c r="EJ22" i="1"/>
  <c r="ET22" i="1"/>
  <c r="EI22" i="1"/>
  <c r="EL21" i="1"/>
  <c r="EK21" i="1"/>
  <c r="EJ21" i="1"/>
  <c r="EI21" i="1"/>
  <c r="ET21" i="1"/>
  <c r="EL20" i="1"/>
  <c r="EK20" i="1"/>
  <c r="EJ20" i="1"/>
  <c r="EI20" i="1"/>
  <c r="EH20" i="1"/>
  <c r="CI6" i="1"/>
  <c r="CR9" i="1" s="1"/>
  <c r="CI5" i="1"/>
  <c r="CQ10" i="1" s="1"/>
  <c r="CI4" i="1"/>
  <c r="CP11" i="1" s="1"/>
  <c r="CI3" i="1"/>
  <c r="CO12" i="1" s="1"/>
  <c r="CI2" i="1"/>
  <c r="CN53" i="1" s="1"/>
  <c r="BJ4" i="1"/>
  <c r="BK7" i="1"/>
  <c r="BM51" i="1"/>
  <c r="BL51" i="1"/>
  <c r="BK51" i="1"/>
  <c r="BJ51" i="1"/>
  <c r="BM50" i="1"/>
  <c r="BL50" i="1"/>
  <c r="BK50" i="1"/>
  <c r="BJ50" i="1"/>
  <c r="BM49" i="1"/>
  <c r="BL49" i="1"/>
  <c r="BK49" i="1"/>
  <c r="BJ49" i="1"/>
  <c r="BM48" i="1"/>
  <c r="BL48" i="1"/>
  <c r="BK48" i="1"/>
  <c r="BJ48" i="1"/>
  <c r="BM47" i="1"/>
  <c r="BL47" i="1"/>
  <c r="BK47" i="1"/>
  <c r="BJ47" i="1"/>
  <c r="BM41" i="1"/>
  <c r="BL41" i="1"/>
  <c r="BK41" i="1"/>
  <c r="BJ41" i="1"/>
  <c r="BM40" i="1"/>
  <c r="BL40" i="1"/>
  <c r="BK40" i="1"/>
  <c r="BJ40" i="1"/>
  <c r="BM36" i="1"/>
  <c r="BL36" i="1"/>
  <c r="BK36" i="1"/>
  <c r="BJ36" i="1"/>
  <c r="BM35" i="1"/>
  <c r="BL35" i="1"/>
  <c r="BK35" i="1"/>
  <c r="BJ35" i="1"/>
  <c r="BM34" i="1"/>
  <c r="BL34" i="1"/>
  <c r="BK34" i="1"/>
  <c r="BJ34" i="1"/>
  <c r="BM28" i="1"/>
  <c r="BL28" i="1"/>
  <c r="BK28" i="1"/>
  <c r="BJ28" i="1"/>
  <c r="BM27" i="1"/>
  <c r="BL27" i="1"/>
  <c r="BK27" i="1"/>
  <c r="BJ27" i="1"/>
  <c r="BM26" i="1"/>
  <c r="BL26" i="1"/>
  <c r="BK26" i="1"/>
  <c r="BJ26" i="1"/>
  <c r="BM25" i="1"/>
  <c r="BL25" i="1"/>
  <c r="BK25" i="1"/>
  <c r="BJ25" i="1"/>
  <c r="BM24" i="1"/>
  <c r="BL24" i="1"/>
  <c r="BK24" i="1"/>
  <c r="BJ24" i="1"/>
  <c r="BM18" i="1"/>
  <c r="BL18" i="1"/>
  <c r="BK18" i="1"/>
  <c r="BJ18" i="1"/>
  <c r="BM17" i="1"/>
  <c r="BL17" i="1"/>
  <c r="BK17" i="1"/>
  <c r="BJ17" i="1"/>
  <c r="BM16" i="1"/>
  <c r="BL16" i="1"/>
  <c r="BK16" i="1"/>
  <c r="BJ16" i="1"/>
  <c r="BM15" i="1"/>
  <c r="BL15" i="1"/>
  <c r="BK15" i="1"/>
  <c r="BJ15" i="1"/>
  <c r="BM14" i="1"/>
  <c r="BL14" i="1"/>
  <c r="BK14" i="1"/>
  <c r="BJ14" i="1"/>
  <c r="BJ52" i="1" l="1"/>
  <c r="BL42" i="1"/>
  <c r="BM42" i="1"/>
  <c r="BJ42" i="1"/>
  <c r="CN39" i="1"/>
  <c r="CN7" i="1"/>
  <c r="CO27" i="1"/>
  <c r="CQ33" i="1"/>
  <c r="CR32" i="1"/>
  <c r="CN38" i="1"/>
  <c r="CN6" i="1"/>
  <c r="CO26" i="1"/>
  <c r="CQ25" i="1"/>
  <c r="CR31" i="1"/>
  <c r="CN31" i="1"/>
  <c r="CO51" i="1"/>
  <c r="CO19" i="1"/>
  <c r="CQ17" i="1"/>
  <c r="CR24" i="1"/>
  <c r="CN30" i="1"/>
  <c r="CO50" i="1"/>
  <c r="CO18" i="1"/>
  <c r="CQ9" i="1"/>
  <c r="CR23" i="1"/>
  <c r="CN23" i="1"/>
  <c r="CO43" i="1"/>
  <c r="CO11" i="1"/>
  <c r="CR48" i="1"/>
  <c r="CR16" i="1"/>
  <c r="CN22" i="1"/>
  <c r="CO42" i="1"/>
  <c r="CO10" i="1"/>
  <c r="CR47" i="1"/>
  <c r="CR15" i="1"/>
  <c r="CN48" i="1"/>
  <c r="CN15" i="1"/>
  <c r="CO35" i="1"/>
  <c r="CQ49" i="1"/>
  <c r="CR40" i="1"/>
  <c r="CR8" i="1"/>
  <c r="CN47" i="1"/>
  <c r="CN14" i="1"/>
  <c r="CO34" i="1"/>
  <c r="CQ41" i="1"/>
  <c r="CR39" i="1"/>
  <c r="CR7" i="1"/>
  <c r="CP42" i="1"/>
  <c r="CP34" i="1"/>
  <c r="CP18" i="1"/>
  <c r="CP49" i="1"/>
  <c r="CP41" i="1"/>
  <c r="CP25" i="1"/>
  <c r="CP17" i="1"/>
  <c r="CP9" i="1"/>
  <c r="CQ48" i="1"/>
  <c r="CQ40" i="1"/>
  <c r="CQ32" i="1"/>
  <c r="CQ24" i="1"/>
  <c r="CQ16" i="1"/>
  <c r="CQ8" i="1"/>
  <c r="CN46" i="1"/>
  <c r="CN37" i="1"/>
  <c r="CN29" i="1"/>
  <c r="CN21" i="1"/>
  <c r="CN13" i="1"/>
  <c r="CN44" i="1"/>
  <c r="CO49" i="1"/>
  <c r="CO41" i="1"/>
  <c r="CO33" i="1"/>
  <c r="CO25" i="1"/>
  <c r="CO17" i="1"/>
  <c r="CO9" i="1"/>
  <c r="CP48" i="1"/>
  <c r="CP40" i="1"/>
  <c r="CP32" i="1"/>
  <c r="CP24" i="1"/>
  <c r="CP16" i="1"/>
  <c r="CP8" i="1"/>
  <c r="CQ47" i="1"/>
  <c r="CQ39" i="1"/>
  <c r="CQ31" i="1"/>
  <c r="CQ23" i="1"/>
  <c r="CQ15" i="1"/>
  <c r="CQ7" i="1"/>
  <c r="CR46" i="1"/>
  <c r="CR38" i="1"/>
  <c r="CR30" i="1"/>
  <c r="CR22" i="1"/>
  <c r="CR14" i="1"/>
  <c r="CR6" i="1"/>
  <c r="CP50" i="1"/>
  <c r="CP26" i="1"/>
  <c r="CP33" i="1"/>
  <c r="CN5" i="1"/>
  <c r="CN45" i="1"/>
  <c r="CN36" i="1"/>
  <c r="CN28" i="1"/>
  <c r="CN20" i="1"/>
  <c r="CN12" i="1"/>
  <c r="CO5" i="1"/>
  <c r="CO48" i="1"/>
  <c r="CO40" i="1"/>
  <c r="CO32" i="1"/>
  <c r="CO24" i="1"/>
  <c r="CO16" i="1"/>
  <c r="CO8" i="1"/>
  <c r="CP47" i="1"/>
  <c r="CP39" i="1"/>
  <c r="CP31" i="1"/>
  <c r="CP23" i="1"/>
  <c r="CP15" i="1"/>
  <c r="CP7" i="1"/>
  <c r="CQ46" i="1"/>
  <c r="CQ38" i="1"/>
  <c r="CQ30" i="1"/>
  <c r="CQ22" i="1"/>
  <c r="CQ14" i="1"/>
  <c r="CQ6" i="1"/>
  <c r="CR45" i="1"/>
  <c r="CR37" i="1"/>
  <c r="CR29" i="1"/>
  <c r="CR21" i="1"/>
  <c r="CR13" i="1"/>
  <c r="CR53" i="1"/>
  <c r="CN52" i="1"/>
  <c r="CN43" i="1"/>
  <c r="CN35" i="1"/>
  <c r="CN27" i="1"/>
  <c r="CN19" i="1"/>
  <c r="CN11" i="1"/>
  <c r="CP5" i="1"/>
  <c r="CO47" i="1"/>
  <c r="CO39" i="1"/>
  <c r="CO31" i="1"/>
  <c r="CO23" i="1"/>
  <c r="CO15" i="1"/>
  <c r="CO7" i="1"/>
  <c r="CP46" i="1"/>
  <c r="CP38" i="1"/>
  <c r="CP30" i="1"/>
  <c r="CP22" i="1"/>
  <c r="CP14" i="1"/>
  <c r="CP6" i="1"/>
  <c r="CQ45" i="1"/>
  <c r="CQ37" i="1"/>
  <c r="CQ29" i="1"/>
  <c r="CQ21" i="1"/>
  <c r="CQ13" i="1"/>
  <c r="CR52" i="1"/>
  <c r="CR44" i="1"/>
  <c r="CR36" i="1"/>
  <c r="CR28" i="1"/>
  <c r="CR20" i="1"/>
  <c r="CR12" i="1"/>
  <c r="CQ53" i="1"/>
  <c r="BK52" i="1"/>
  <c r="BK19" i="1"/>
  <c r="BK42" i="1"/>
  <c r="CN51" i="1"/>
  <c r="CN42" i="1"/>
  <c r="CN34" i="1"/>
  <c r="CN26" i="1"/>
  <c r="CN18" i="1"/>
  <c r="CN10" i="1"/>
  <c r="CQ5" i="1"/>
  <c r="CO46" i="1"/>
  <c r="CO38" i="1"/>
  <c r="CO30" i="1"/>
  <c r="CO22" i="1"/>
  <c r="CO14" i="1"/>
  <c r="CO6" i="1"/>
  <c r="CP45" i="1"/>
  <c r="CP37" i="1"/>
  <c r="CP29" i="1"/>
  <c r="CP21" i="1"/>
  <c r="CP13" i="1"/>
  <c r="CQ52" i="1"/>
  <c r="CQ44" i="1"/>
  <c r="CQ36" i="1"/>
  <c r="CQ28" i="1"/>
  <c r="CQ20" i="1"/>
  <c r="CQ12" i="1"/>
  <c r="CR51" i="1"/>
  <c r="CR43" i="1"/>
  <c r="CR35" i="1"/>
  <c r="CR27" i="1"/>
  <c r="CR19" i="1"/>
  <c r="CR11" i="1"/>
  <c r="CP53" i="1"/>
  <c r="CP10" i="1"/>
  <c r="CN50" i="1"/>
  <c r="CN41" i="1"/>
  <c r="CN33" i="1"/>
  <c r="CN25" i="1"/>
  <c r="CN17" i="1"/>
  <c r="CN9" i="1"/>
  <c r="CR5" i="1"/>
  <c r="CO45" i="1"/>
  <c r="CO37" i="1"/>
  <c r="CO29" i="1"/>
  <c r="CO21" i="1"/>
  <c r="CO13" i="1"/>
  <c r="CP52" i="1"/>
  <c r="CP44" i="1"/>
  <c r="CP36" i="1"/>
  <c r="CP28" i="1"/>
  <c r="CP20" i="1"/>
  <c r="CP12" i="1"/>
  <c r="CQ51" i="1"/>
  <c r="CQ43" i="1"/>
  <c r="CQ35" i="1"/>
  <c r="CQ27" i="1"/>
  <c r="CQ19" i="1"/>
  <c r="CQ11" i="1"/>
  <c r="CR50" i="1"/>
  <c r="CR42" i="1"/>
  <c r="CR34" i="1"/>
  <c r="CR26" i="1"/>
  <c r="CR18" i="1"/>
  <c r="CR10" i="1"/>
  <c r="CO53" i="1"/>
  <c r="CN49" i="1"/>
  <c r="CN40" i="1"/>
  <c r="CN32" i="1"/>
  <c r="CN24" i="1"/>
  <c r="CN16" i="1"/>
  <c r="CN8" i="1"/>
  <c r="CO52" i="1"/>
  <c r="CO44" i="1"/>
  <c r="CO36" i="1"/>
  <c r="CO28" i="1"/>
  <c r="CO20" i="1"/>
  <c r="CP51" i="1"/>
  <c r="CP43" i="1"/>
  <c r="CP35" i="1"/>
  <c r="CP27" i="1"/>
  <c r="CP19" i="1"/>
  <c r="CQ50" i="1"/>
  <c r="CQ42" i="1"/>
  <c r="CQ34" i="1"/>
  <c r="CQ26" i="1"/>
  <c r="CQ18" i="1"/>
  <c r="CR49" i="1"/>
  <c r="CR41" i="1"/>
  <c r="CR33" i="1"/>
  <c r="CR25" i="1"/>
  <c r="CR17" i="1"/>
  <c r="BM52" i="1"/>
  <c r="BM29" i="1"/>
  <c r="BL19" i="1"/>
  <c r="BK29" i="1"/>
  <c r="BJ29" i="1"/>
  <c r="BL52" i="1"/>
  <c r="BJ19" i="1"/>
  <c r="BM19" i="1"/>
  <c r="BL29" i="1"/>
  <c r="BK4" i="1"/>
  <c r="BM8" i="1"/>
  <c r="BL8" i="1"/>
  <c r="BK8" i="1"/>
  <c r="AP118" i="1" l="1"/>
  <c r="AP70" i="1"/>
  <c r="AP46" i="1"/>
  <c r="AP94" i="1"/>
  <c r="BJ8" i="1"/>
  <c r="BM7" i="1"/>
  <c r="BL7" i="1"/>
  <c r="BJ7" i="1"/>
  <c r="BM6" i="1"/>
  <c r="BM5" i="1"/>
  <c r="BL6" i="1"/>
  <c r="BK6" i="1"/>
  <c r="BJ6" i="1"/>
  <c r="BL5" i="1"/>
  <c r="BK5" i="1"/>
  <c r="BJ5" i="1"/>
  <c r="BM4" i="1"/>
  <c r="BL4" i="1"/>
  <c r="BK9" i="1" l="1"/>
  <c r="BM9" i="1"/>
  <c r="BL9" i="1"/>
  <c r="BJ9" i="1"/>
  <c r="R92" i="1"/>
  <c r="R80" i="1"/>
  <c r="R68" i="1"/>
  <c r="R56" i="1"/>
  <c r="AQ116" i="1"/>
  <c r="AP19" i="1" l="1"/>
  <c r="R44" i="1" s="1"/>
  <c r="AP117" i="1"/>
  <c r="AQ92" i="1"/>
  <c r="AP93" i="1" s="1"/>
  <c r="AQ68" i="1"/>
  <c r="AP69" i="1" s="1"/>
  <c r="AP45" i="1" l="1"/>
  <c r="AQ17" i="1"/>
  <c r="AP18" i="1" l="1"/>
  <c r="AT188" i="1" l="1"/>
  <c r="AT187" i="1"/>
  <c r="AT186" i="1"/>
  <c r="AT185" i="1"/>
  <c r="AT184" i="1"/>
  <c r="AT157" i="1"/>
  <c r="AX157" i="1" s="1"/>
  <c r="AP114" i="1" s="1"/>
  <c r="AT156" i="1"/>
  <c r="BA156" i="1" s="1"/>
  <c r="AT155" i="1"/>
  <c r="AV155" i="1" s="1"/>
  <c r="AT154" i="1"/>
  <c r="BB154" i="1" s="1"/>
  <c r="AT153" i="1"/>
  <c r="BF153" i="1" s="1"/>
  <c r="AT126" i="1"/>
  <c r="BB126" i="1" s="1"/>
  <c r="AT125" i="1"/>
  <c r="BF125" i="1" s="1"/>
  <c r="AT124" i="1"/>
  <c r="BC124" i="1" s="1"/>
  <c r="AT123" i="1"/>
  <c r="BB123" i="1" s="1"/>
  <c r="AT122" i="1"/>
  <c r="AZ122" i="1" s="1"/>
  <c r="AT95" i="1"/>
  <c r="AY95" i="1" s="1"/>
  <c r="AT94" i="1"/>
  <c r="BB94" i="1" s="1"/>
  <c r="AT93" i="1"/>
  <c r="BD93" i="1" s="1"/>
  <c r="AT92" i="1"/>
  <c r="AZ92" i="1" s="1"/>
  <c r="AT91" i="1"/>
  <c r="BC91" i="1" s="1"/>
  <c r="AT64" i="1"/>
  <c r="BB64" i="1" s="1"/>
  <c r="AT63" i="1"/>
  <c r="BE63" i="1" s="1"/>
  <c r="AT62" i="1"/>
  <c r="BA62" i="1" s="1"/>
  <c r="AT61" i="1"/>
  <c r="BF61" i="1" s="1"/>
  <c r="AT60" i="1"/>
  <c r="BD60" i="1" s="1"/>
  <c r="AT30" i="1"/>
  <c r="BC30" i="1" s="1"/>
  <c r="AT29" i="1"/>
  <c r="BB29" i="1" s="1"/>
  <c r="AT28" i="1"/>
  <c r="BF28" i="1" s="1"/>
  <c r="AT27" i="1"/>
  <c r="AZ27" i="1" s="1"/>
  <c r="AT26" i="1"/>
  <c r="BD26" i="1" s="1"/>
  <c r="AZ63" i="1" l="1"/>
  <c r="AV64" i="1"/>
  <c r="BD64" i="1"/>
  <c r="BB62" i="1"/>
  <c r="AY63" i="1"/>
  <c r="BA63" i="1"/>
  <c r="AU64" i="1"/>
  <c r="AZ93" i="1"/>
  <c r="AV124" i="1"/>
  <c r="BA93" i="1"/>
  <c r="BB93" i="1"/>
  <c r="BC93" i="1"/>
  <c r="AP60" i="1" s="1"/>
  <c r="BD124" i="1"/>
  <c r="BC126" i="1"/>
  <c r="AW64" i="1"/>
  <c r="AX92" i="1"/>
  <c r="BD126" i="1"/>
  <c r="AY62" i="1"/>
  <c r="BC64" i="1"/>
  <c r="BA92" i="1"/>
  <c r="BE126" i="1"/>
  <c r="BD94" i="1"/>
  <c r="BE94" i="1"/>
  <c r="AY125" i="1"/>
  <c r="BF156" i="1"/>
  <c r="BE62" i="1"/>
  <c r="BC63" i="1"/>
  <c r="AU93" i="1"/>
  <c r="BF93" i="1"/>
  <c r="AZ125" i="1"/>
  <c r="AZ156" i="1"/>
  <c r="BC62" i="1"/>
  <c r="BD62" i="1"/>
  <c r="BB63" i="1"/>
  <c r="AU62" i="1"/>
  <c r="AU63" i="1"/>
  <c r="BD63" i="1"/>
  <c r="AW93" i="1"/>
  <c r="AP65" i="1" s="1"/>
  <c r="AV94" i="1"/>
  <c r="AU126" i="1"/>
  <c r="AY156" i="1"/>
  <c r="AV62" i="1"/>
  <c r="AV63" i="1"/>
  <c r="BF63" i="1"/>
  <c r="AX93" i="1"/>
  <c r="AP66" i="1" s="1"/>
  <c r="AW94" i="1"/>
  <c r="AV126" i="1"/>
  <c r="BC155" i="1"/>
  <c r="AW62" i="1"/>
  <c r="AX63" i="1"/>
  <c r="AY93" i="1"/>
  <c r="BC94" i="1"/>
  <c r="AW126" i="1"/>
  <c r="BB155" i="1"/>
  <c r="AZ95" i="1"/>
  <c r="BD157" i="1"/>
  <c r="AV157" i="1"/>
  <c r="AP111" i="1" s="1"/>
  <c r="D99" i="1" s="1"/>
  <c r="BB95" i="1"/>
  <c r="AX124" i="1"/>
  <c r="BF124" i="1"/>
  <c r="BA125" i="1"/>
  <c r="BC157" i="1"/>
  <c r="AP108" i="1" s="1"/>
  <c r="AX156" i="1"/>
  <c r="BA155" i="1"/>
  <c r="AP58" i="1" s="1"/>
  <c r="Y70" i="1" s="1"/>
  <c r="AX62" i="1"/>
  <c r="BF62" i="1"/>
  <c r="AX64" i="1"/>
  <c r="BF64" i="1"/>
  <c r="AX94" i="1"/>
  <c r="BF94" i="1"/>
  <c r="BC95" i="1"/>
  <c r="AW186" i="1"/>
  <c r="BE186" i="1"/>
  <c r="BB186" i="1"/>
  <c r="AV186" i="1"/>
  <c r="AX186" i="1"/>
  <c r="BF186" i="1"/>
  <c r="AZ186" i="1"/>
  <c r="AY186" i="1"/>
  <c r="AU186" i="1"/>
  <c r="BA186" i="1"/>
  <c r="BD186" i="1"/>
  <c r="BC186" i="1"/>
  <c r="AY124" i="1"/>
  <c r="AU124" i="1"/>
  <c r="BB125" i="1"/>
  <c r="AP83" i="1" s="1"/>
  <c r="Y83" i="1" s="1"/>
  <c r="AX126" i="1"/>
  <c r="BF126" i="1"/>
  <c r="BB157" i="1"/>
  <c r="AP107" i="1" s="1"/>
  <c r="Y95" i="1" s="1"/>
  <c r="BE156" i="1"/>
  <c r="AW156" i="1"/>
  <c r="AZ155" i="1"/>
  <c r="AU94" i="1"/>
  <c r="AY94" i="1"/>
  <c r="AV95" i="1"/>
  <c r="BD95" i="1"/>
  <c r="BB187" i="1"/>
  <c r="BC187" i="1"/>
  <c r="AU187" i="1"/>
  <c r="AW187" i="1"/>
  <c r="AV187" i="1"/>
  <c r="BD187" i="1"/>
  <c r="BE187" i="1"/>
  <c r="AX187" i="1"/>
  <c r="AY187" i="1"/>
  <c r="AZ187" i="1"/>
  <c r="BF187" i="1"/>
  <c r="BA187" i="1"/>
  <c r="AZ124" i="1"/>
  <c r="AU125" i="1"/>
  <c r="BC125" i="1"/>
  <c r="AP84" i="1" s="1"/>
  <c r="AY126" i="1"/>
  <c r="AU155" i="1"/>
  <c r="BA157" i="1"/>
  <c r="BD156" i="1"/>
  <c r="AV156" i="1"/>
  <c r="AY155" i="1"/>
  <c r="AW157" i="1"/>
  <c r="AY64" i="1"/>
  <c r="AZ64" i="1"/>
  <c r="AY188" i="1"/>
  <c r="AU188" i="1"/>
  <c r="BD188" i="1"/>
  <c r="BF188" i="1"/>
  <c r="AZ188" i="1"/>
  <c r="BA188" i="1"/>
  <c r="BB188" i="1"/>
  <c r="BC188" i="1"/>
  <c r="AX188" i="1"/>
  <c r="AV188" i="1"/>
  <c r="BE188" i="1"/>
  <c r="AW188" i="1"/>
  <c r="BA124" i="1"/>
  <c r="AV125" i="1"/>
  <c r="BD125" i="1"/>
  <c r="AZ126" i="1"/>
  <c r="AU156" i="1"/>
  <c r="AZ157" i="1"/>
  <c r="BC156" i="1"/>
  <c r="BF155" i="1"/>
  <c r="AP62" i="1" s="1"/>
  <c r="AX155" i="1"/>
  <c r="AW124" i="1"/>
  <c r="BE124" i="1"/>
  <c r="AZ62" i="1"/>
  <c r="AU95" i="1"/>
  <c r="AZ94" i="1"/>
  <c r="AW95" i="1"/>
  <c r="BE95" i="1"/>
  <c r="AW63" i="1"/>
  <c r="BA64" i="1"/>
  <c r="AP106" i="1" s="1"/>
  <c r="Y94" i="1" s="1"/>
  <c r="AV93" i="1"/>
  <c r="AP63" i="1" s="1"/>
  <c r="D75" i="1" s="1"/>
  <c r="BA94" i="1"/>
  <c r="AX95" i="1"/>
  <c r="BF95" i="1"/>
  <c r="AU123" i="1"/>
  <c r="BB124" i="1"/>
  <c r="AW125" i="1"/>
  <c r="AP89" i="1" s="1"/>
  <c r="BA126" i="1"/>
  <c r="AU157" i="1"/>
  <c r="AY157" i="1"/>
  <c r="BB156" i="1"/>
  <c r="AW155" i="1"/>
  <c r="BA95" i="1"/>
  <c r="AV123" i="1"/>
  <c r="AX125" i="1"/>
  <c r="AP90" i="1" s="1"/>
  <c r="BF157" i="1"/>
  <c r="BD155" i="1"/>
  <c r="AP61" i="1" s="1"/>
  <c r="BC123" i="1"/>
  <c r="AW154" i="1"/>
  <c r="BD92" i="1"/>
  <c r="BD123" i="1"/>
  <c r="BC154" i="1"/>
  <c r="AV154" i="1"/>
  <c r="BC92" i="1"/>
  <c r="BF92" i="1"/>
  <c r="BD154" i="1"/>
  <c r="BB92" i="1"/>
  <c r="AU92" i="1"/>
  <c r="AV92" i="1"/>
  <c r="AU154" i="1"/>
  <c r="AW123" i="1"/>
  <c r="BE123" i="1"/>
  <c r="BB61" i="1"/>
  <c r="AW92" i="1"/>
  <c r="AX123" i="1"/>
  <c r="BF123" i="1"/>
  <c r="AX154" i="1"/>
  <c r="BF154" i="1"/>
  <c r="AV185" i="1"/>
  <c r="BD185" i="1"/>
  <c r="AW185" i="1"/>
  <c r="BE185" i="1"/>
  <c r="AU185" i="1"/>
  <c r="AX185" i="1"/>
  <c r="BF185" i="1"/>
  <c r="BA185" i="1"/>
  <c r="AY185" i="1"/>
  <c r="AZ185" i="1"/>
  <c r="BB185" i="1"/>
  <c r="BC185" i="1"/>
  <c r="AY123" i="1"/>
  <c r="AY154" i="1"/>
  <c r="AZ61" i="1"/>
  <c r="AP30" i="1" s="1"/>
  <c r="Y57" i="1" s="1"/>
  <c r="BA61" i="1"/>
  <c r="AV61" i="1"/>
  <c r="AY92" i="1"/>
  <c r="AZ123" i="1"/>
  <c r="AZ154" i="1"/>
  <c r="BE154" i="1"/>
  <c r="AU61" i="1"/>
  <c r="BC61" i="1"/>
  <c r="BD61" i="1"/>
  <c r="AW61" i="1"/>
  <c r="BA123" i="1"/>
  <c r="BA154" i="1"/>
  <c r="AY61" i="1"/>
  <c r="AP29" i="1" s="1"/>
  <c r="Y56" i="1" s="1"/>
  <c r="AX61" i="1"/>
  <c r="BA122" i="1"/>
  <c r="BB122" i="1"/>
  <c r="BF122" i="1"/>
  <c r="AY122" i="1"/>
  <c r="AU122" i="1"/>
  <c r="AW153" i="1"/>
  <c r="BC153" i="1"/>
  <c r="AX122" i="1"/>
  <c r="BE153" i="1"/>
  <c r="BC122" i="1"/>
  <c r="AY153" i="1"/>
  <c r="AU153" i="1"/>
  <c r="AV122" i="1"/>
  <c r="BD122" i="1"/>
  <c r="AZ153" i="1"/>
  <c r="AX153" i="1"/>
  <c r="AW122" i="1"/>
  <c r="BA153" i="1"/>
  <c r="BB153" i="1"/>
  <c r="BF184" i="1"/>
  <c r="AY184" i="1"/>
  <c r="AW184" i="1"/>
  <c r="BE184" i="1"/>
  <c r="AX184" i="1"/>
  <c r="AV184" i="1"/>
  <c r="BA184" i="1"/>
  <c r="AZ184" i="1"/>
  <c r="BD184" i="1"/>
  <c r="BC184" i="1"/>
  <c r="AU184" i="1"/>
  <c r="BB184" i="1"/>
  <c r="AV153" i="1"/>
  <c r="BD153" i="1"/>
  <c r="BD91" i="1"/>
  <c r="AW60" i="1"/>
  <c r="BE60" i="1"/>
  <c r="AZ26" i="1"/>
  <c r="BA26" i="1"/>
  <c r="BE26" i="1"/>
  <c r="AV91" i="1"/>
  <c r="BF91" i="1"/>
  <c r="BF26" i="1"/>
  <c r="AZ60" i="1"/>
  <c r="AY91" i="1"/>
  <c r="BA60" i="1"/>
  <c r="AX60" i="1"/>
  <c r="BF60" i="1"/>
  <c r="AW91" i="1"/>
  <c r="BE91" i="1"/>
  <c r="AY60" i="1"/>
  <c r="AX91" i="1"/>
  <c r="AZ91" i="1"/>
  <c r="AW26" i="1"/>
  <c r="AP14" i="1" s="1"/>
  <c r="BB60" i="1"/>
  <c r="AX26" i="1"/>
  <c r="AU60" i="1"/>
  <c r="BC60" i="1"/>
  <c r="BB91" i="1"/>
  <c r="BA91" i="1"/>
  <c r="AY26" i="1"/>
  <c r="AV60" i="1"/>
  <c r="AU91" i="1"/>
  <c r="AW30" i="1"/>
  <c r="BD30" i="1"/>
  <c r="BF30" i="1"/>
  <c r="AV30" i="1"/>
  <c r="BE30" i="1"/>
  <c r="AX30" i="1"/>
  <c r="AY30" i="1"/>
  <c r="AZ30" i="1"/>
  <c r="BA30" i="1"/>
  <c r="BB30" i="1"/>
  <c r="AU30" i="1"/>
  <c r="AY28" i="1"/>
  <c r="BA28" i="1"/>
  <c r="BB28" i="1"/>
  <c r="AX28" i="1"/>
  <c r="BC28" i="1"/>
  <c r="BD28" i="1"/>
  <c r="AV28" i="1"/>
  <c r="BE28" i="1"/>
  <c r="AZ28" i="1"/>
  <c r="AU28" i="1"/>
  <c r="AW28" i="1"/>
  <c r="BB27" i="1"/>
  <c r="BA27" i="1"/>
  <c r="BC27" i="1"/>
  <c r="BD27" i="1"/>
  <c r="BE27" i="1"/>
  <c r="BF27" i="1"/>
  <c r="AV27" i="1"/>
  <c r="AU27" i="1"/>
  <c r="AW27" i="1"/>
  <c r="AX27" i="1"/>
  <c r="AY27" i="1"/>
  <c r="BB26" i="1"/>
  <c r="BC26" i="1"/>
  <c r="AU26" i="1"/>
  <c r="AV26" i="1"/>
  <c r="BC29" i="1"/>
  <c r="BF29" i="1"/>
  <c r="AY29" i="1"/>
  <c r="AV29" i="1"/>
  <c r="AX29" i="1"/>
  <c r="AZ29" i="1"/>
  <c r="BD29" i="1"/>
  <c r="BA29" i="1"/>
  <c r="AP82" i="1" s="1"/>
  <c r="Y82" i="1" s="1"/>
  <c r="AW29" i="1"/>
  <c r="AU29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10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84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58" i="1"/>
  <c r="AM30" i="1"/>
  <c r="AM31" i="1"/>
  <c r="AM32" i="1"/>
  <c r="AM33" i="1"/>
  <c r="AM34" i="1"/>
  <c r="AM35" i="1"/>
  <c r="AM36" i="1"/>
  <c r="AM37" i="1"/>
  <c r="AM38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29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3" i="1"/>
  <c r="N92" i="1"/>
  <c r="N80" i="1"/>
  <c r="N68" i="1"/>
  <c r="N56" i="1"/>
  <c r="BE131" i="1"/>
  <c r="BE132" i="1"/>
  <c r="BE155" i="1" s="1"/>
  <c r="BE133" i="1"/>
  <c r="BE134" i="1"/>
  <c r="BE135" i="1"/>
  <c r="BE136" i="1"/>
  <c r="BE137" i="1"/>
  <c r="BE157" i="1" s="1"/>
  <c r="BE138" i="1"/>
  <c r="BE139" i="1"/>
  <c r="BE140" i="1"/>
  <c r="BE141" i="1"/>
  <c r="BE143" i="1"/>
  <c r="BE144" i="1"/>
  <c r="BE145" i="1"/>
  <c r="BE146" i="1"/>
  <c r="BE147" i="1"/>
  <c r="BE148" i="1"/>
  <c r="BE130" i="1"/>
  <c r="BE100" i="1"/>
  <c r="BE125" i="1" s="1"/>
  <c r="BE101" i="1"/>
  <c r="BE102" i="1"/>
  <c r="BE103" i="1"/>
  <c r="BE122" i="1" s="1"/>
  <c r="BE104" i="1"/>
  <c r="BE105" i="1"/>
  <c r="BE106" i="1"/>
  <c r="BE107" i="1"/>
  <c r="BE108" i="1"/>
  <c r="BE109" i="1"/>
  <c r="BE110" i="1"/>
  <c r="BE111" i="1"/>
  <c r="BE113" i="1"/>
  <c r="BE114" i="1"/>
  <c r="BE115" i="1"/>
  <c r="BE116" i="1"/>
  <c r="BE99" i="1"/>
  <c r="BE69" i="1"/>
  <c r="BE70" i="1"/>
  <c r="BE71" i="1"/>
  <c r="BE72" i="1"/>
  <c r="BE73" i="1"/>
  <c r="BE93" i="1" s="1"/>
  <c r="BE74" i="1"/>
  <c r="BE75" i="1"/>
  <c r="BE76" i="1"/>
  <c r="BE77" i="1"/>
  <c r="BE78" i="1"/>
  <c r="BE79" i="1"/>
  <c r="BE92" i="1" s="1"/>
  <c r="BE80" i="1"/>
  <c r="BE81" i="1"/>
  <c r="BE82" i="1"/>
  <c r="BE83" i="1"/>
  <c r="BE85" i="1"/>
  <c r="BE86" i="1"/>
  <c r="BE87" i="1"/>
  <c r="BE88" i="1"/>
  <c r="BE89" i="1"/>
  <c r="BE90" i="1"/>
  <c r="BE68" i="1"/>
  <c r="BE35" i="1"/>
  <c r="BE36" i="1"/>
  <c r="BE61" i="1" s="1"/>
  <c r="BE37" i="1"/>
  <c r="BE38" i="1"/>
  <c r="BE39" i="1"/>
  <c r="BE40" i="1"/>
  <c r="BE41" i="1"/>
  <c r="BE64" i="1" s="1"/>
  <c r="BE43" i="1"/>
  <c r="BE34" i="1"/>
  <c r="BE4" i="1"/>
  <c r="BE5" i="1"/>
  <c r="BE6" i="1"/>
  <c r="BE7" i="1"/>
  <c r="BE10" i="1"/>
  <c r="BE11" i="1"/>
  <c r="BE12" i="1"/>
  <c r="BE29" i="1" s="1"/>
  <c r="BE14" i="1"/>
  <c r="BE3" i="1"/>
  <c r="AP41" i="1" l="1"/>
  <c r="AQ41" i="1" s="1"/>
  <c r="AP40" i="1" s="1"/>
  <c r="P58" i="1" s="1"/>
  <c r="AP33" i="1"/>
  <c r="Y60" i="1" s="1"/>
  <c r="AP42" i="1"/>
  <c r="AP113" i="1"/>
  <c r="AQ113" i="1" s="1"/>
  <c r="AP112" i="1" s="1"/>
  <c r="P94" i="1" s="1"/>
  <c r="AP110" i="1"/>
  <c r="Y98" i="1" s="1"/>
  <c r="C7" i="3" s="1"/>
  <c r="AP109" i="1"/>
  <c r="Y97" i="1" s="1"/>
  <c r="AP85" i="1"/>
  <c r="Y85" i="1" s="1"/>
  <c r="AP31" i="1"/>
  <c r="Y58" i="1" s="1"/>
  <c r="AP34" i="1"/>
  <c r="Y61" i="1" s="1"/>
  <c r="AP9" i="1"/>
  <c r="Y48" i="1" s="1"/>
  <c r="AP15" i="1"/>
  <c r="AP10" i="1"/>
  <c r="Y49" i="1" s="1"/>
  <c r="AP11" i="1"/>
  <c r="Y50" i="1" s="1"/>
  <c r="AP7" i="1"/>
  <c r="Y46" i="1" s="1"/>
  <c r="AP35" i="1"/>
  <c r="Y62" i="1" s="1"/>
  <c r="C4" i="3" s="1"/>
  <c r="AP86" i="1"/>
  <c r="Y86" i="1" s="1"/>
  <c r="C6" i="3" s="1"/>
  <c r="AQ14" i="1"/>
  <c r="AP36" i="1"/>
  <c r="D63" i="1" s="1"/>
  <c r="Y96" i="1"/>
  <c r="AP87" i="1"/>
  <c r="D87" i="1" s="1"/>
  <c r="AQ89" i="1"/>
  <c r="AP88" i="1" s="1"/>
  <c r="P82" i="1" s="1"/>
  <c r="Y73" i="1"/>
  <c r="AQ65" i="1"/>
  <c r="AP105" i="1"/>
  <c r="Y93" i="1" s="1"/>
  <c r="AP104" i="1"/>
  <c r="Y92" i="1" s="1"/>
  <c r="AP81" i="1"/>
  <c r="Y81" i="1" s="1"/>
  <c r="Y84" i="1"/>
  <c r="AP80" i="1"/>
  <c r="Y80" i="1" s="1"/>
  <c r="Y74" i="1"/>
  <c r="C5" i="3" s="1"/>
  <c r="AP56" i="1"/>
  <c r="Y68" i="1" s="1"/>
  <c r="Y72" i="1"/>
  <c r="AP59" i="1"/>
  <c r="Y71" i="1" s="1"/>
  <c r="AP57" i="1"/>
  <c r="Y69" i="1" s="1"/>
  <c r="AP32" i="1"/>
  <c r="Y59" i="1" s="1"/>
  <c r="AP6" i="1"/>
  <c r="Y45" i="1" s="1"/>
  <c r="AP12" i="1"/>
  <c r="D51" i="1" s="1"/>
  <c r="AP8" i="1"/>
  <c r="Y47" i="1" s="1"/>
  <c r="AP5" i="1"/>
  <c r="Y44" i="1" s="1"/>
  <c r="AP13" i="1" l="1"/>
  <c r="P46" i="1" s="1"/>
  <c r="AP64" i="1"/>
  <c r="P70" i="1" s="1"/>
  <c r="AF12" i="1"/>
  <c r="D21" i="1" l="1"/>
  <c r="EN7" i="1" l="1"/>
  <c r="R70" i="2" l="1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W27" i="15" l="1"/>
  <c r="V27" i="15"/>
  <c r="U27" i="15"/>
  <c r="T27" i="15"/>
  <c r="S27" i="15"/>
  <c r="R27" i="15"/>
  <c r="Q27" i="15"/>
  <c r="P27" i="15"/>
  <c r="O27" i="15"/>
  <c r="K56" i="15"/>
  <c r="J56" i="15"/>
  <c r="I56" i="15"/>
  <c r="H56" i="15"/>
  <c r="G56" i="15"/>
  <c r="F56" i="15"/>
  <c r="E56" i="15"/>
  <c r="D56" i="15"/>
  <c r="C56" i="15"/>
  <c r="K34" i="15"/>
  <c r="J34" i="15"/>
  <c r="I34" i="15"/>
  <c r="H34" i="15"/>
  <c r="G34" i="15"/>
  <c r="F34" i="15"/>
  <c r="E34" i="15"/>
  <c r="D34" i="15"/>
  <c r="C34" i="15"/>
  <c r="Z23" i="1" l="1"/>
  <c r="X6" i="2" l="1"/>
  <c r="T6" i="2"/>
  <c r="D25" i="1"/>
  <c r="D23" i="1"/>
  <c r="AB12" i="1" l="1"/>
  <c r="AC12" i="1" s="1"/>
  <c r="AB13" i="1"/>
  <c r="AC13" i="1" s="1"/>
  <c r="AB14" i="1"/>
  <c r="AC14" i="1" s="1"/>
  <c r="AB15" i="1"/>
  <c r="AC15" i="1" s="1"/>
  <c r="AB16" i="1"/>
  <c r="AC16" i="1" s="1"/>
  <c r="AB17" i="1"/>
  <c r="AC17" i="1" s="1"/>
  <c r="AB18" i="1"/>
  <c r="AC18" i="1" s="1"/>
  <c r="AB19" i="1"/>
  <c r="AC19" i="1" s="1"/>
  <c r="AB20" i="1"/>
  <c r="AC20" i="1" s="1"/>
  <c r="AB11" i="1" l="1"/>
  <c r="AC11" i="1" s="1"/>
  <c r="W96" i="15"/>
  <c r="V96" i="15"/>
  <c r="U96" i="15"/>
  <c r="T96" i="15"/>
  <c r="S96" i="15"/>
  <c r="R96" i="15"/>
  <c r="Q96" i="15"/>
  <c r="P96" i="15"/>
  <c r="O96" i="15"/>
  <c r="P106" i="1"/>
  <c r="AI36" i="1" l="1"/>
  <c r="K32" i="3"/>
  <c r="EG78" i="1" s="1"/>
  <c r="EH44" i="1"/>
  <c r="EI44" i="1"/>
  <c r="EJ44" i="1"/>
  <c r="EK44" i="1"/>
  <c r="EL44" i="1"/>
  <c r="EH43" i="1"/>
  <c r="EI43" i="1"/>
  <c r="EJ43" i="1"/>
  <c r="EK43" i="1"/>
  <c r="EL43" i="1"/>
  <c r="EH19" i="1"/>
  <c r="EI19" i="1"/>
  <c r="EJ19" i="1"/>
  <c r="EK19" i="1"/>
  <c r="EL19" i="1"/>
  <c r="M40" i="14"/>
  <c r="L40" i="14"/>
  <c r="K40" i="14"/>
  <c r="J40" i="14"/>
  <c r="I40" i="14"/>
  <c r="H40" i="14"/>
  <c r="G40" i="14"/>
  <c r="E40" i="14"/>
  <c r="C40" i="14"/>
  <c r="J21" i="1"/>
  <c r="EL6" i="1"/>
  <c r="EL7" i="1"/>
  <c r="EL8" i="1"/>
  <c r="EL9" i="1"/>
  <c r="EL10" i="1"/>
  <c r="EL11" i="1"/>
  <c r="EL12" i="1"/>
  <c r="EL13" i="1"/>
  <c r="EL14" i="1"/>
  <c r="EL15" i="1"/>
  <c r="EL16" i="1"/>
  <c r="EL17" i="1"/>
  <c r="EL18" i="1"/>
  <c r="EL28" i="1"/>
  <c r="EL29" i="1"/>
  <c r="EL30" i="1"/>
  <c r="EL31" i="1"/>
  <c r="EL32" i="1"/>
  <c r="EL33" i="1"/>
  <c r="EL34" i="1"/>
  <c r="EL35" i="1"/>
  <c r="EL36" i="1"/>
  <c r="EL37" i="1"/>
  <c r="EL38" i="1"/>
  <c r="EL39" i="1"/>
  <c r="EL40" i="1"/>
  <c r="EL41" i="1"/>
  <c r="EL42" i="1"/>
  <c r="EL45" i="1"/>
  <c r="EL55" i="1"/>
  <c r="EL56" i="1"/>
  <c r="EL57" i="1"/>
  <c r="EL58" i="1"/>
  <c r="EL59" i="1"/>
  <c r="EL60" i="1"/>
  <c r="EL61" i="1"/>
  <c r="EL62" i="1"/>
  <c r="EL63" i="1"/>
  <c r="EL64" i="1"/>
  <c r="EL65" i="1"/>
  <c r="EL66" i="1"/>
  <c r="EL67" i="1"/>
  <c r="EL68" i="1"/>
  <c r="EL69" i="1"/>
  <c r="EL70" i="1"/>
  <c r="EL71" i="1"/>
  <c r="EK6" i="1"/>
  <c r="EK7" i="1"/>
  <c r="EK8" i="1"/>
  <c r="EK9" i="1"/>
  <c r="EK10" i="1"/>
  <c r="EK11" i="1"/>
  <c r="EK12" i="1"/>
  <c r="EK13" i="1"/>
  <c r="EK14" i="1"/>
  <c r="EK15" i="1"/>
  <c r="EK16" i="1"/>
  <c r="EK17" i="1"/>
  <c r="EK18" i="1"/>
  <c r="EK28" i="1"/>
  <c r="EK29" i="1"/>
  <c r="EK30" i="1"/>
  <c r="EK31" i="1"/>
  <c r="EK32" i="1"/>
  <c r="EK33" i="1"/>
  <c r="EK34" i="1"/>
  <c r="EK35" i="1"/>
  <c r="EK36" i="1"/>
  <c r="EK37" i="1"/>
  <c r="EK38" i="1"/>
  <c r="EK39" i="1"/>
  <c r="EK40" i="1"/>
  <c r="EK41" i="1"/>
  <c r="EK42" i="1"/>
  <c r="EK45" i="1"/>
  <c r="EK55" i="1"/>
  <c r="EK56" i="1"/>
  <c r="EK57" i="1"/>
  <c r="EK58" i="1"/>
  <c r="EK59" i="1"/>
  <c r="EK60" i="1"/>
  <c r="EK61" i="1"/>
  <c r="EK62" i="1"/>
  <c r="EK63" i="1"/>
  <c r="EK64" i="1"/>
  <c r="EK65" i="1"/>
  <c r="EK66" i="1"/>
  <c r="EK67" i="1"/>
  <c r="EK68" i="1"/>
  <c r="EK69" i="1"/>
  <c r="EK70" i="1"/>
  <c r="EK71" i="1"/>
  <c r="EJ6" i="1"/>
  <c r="EJ7" i="1"/>
  <c r="EJ8" i="1"/>
  <c r="EJ9" i="1"/>
  <c r="EJ10" i="1"/>
  <c r="EJ11" i="1"/>
  <c r="EJ12" i="1"/>
  <c r="EJ13" i="1"/>
  <c r="EJ14" i="1"/>
  <c r="EJ15" i="1"/>
  <c r="EJ16" i="1"/>
  <c r="EJ17" i="1"/>
  <c r="EJ18" i="1"/>
  <c r="EJ28" i="1"/>
  <c r="EJ29" i="1"/>
  <c r="EJ30" i="1"/>
  <c r="EJ31" i="1"/>
  <c r="EJ32" i="1"/>
  <c r="EJ33" i="1"/>
  <c r="EJ34" i="1"/>
  <c r="EJ35" i="1"/>
  <c r="EJ36" i="1"/>
  <c r="EJ37" i="1"/>
  <c r="EJ38" i="1"/>
  <c r="EJ39" i="1"/>
  <c r="EJ40" i="1"/>
  <c r="EJ41" i="1"/>
  <c r="EJ42" i="1"/>
  <c r="EJ45" i="1"/>
  <c r="EJ55" i="1"/>
  <c r="EJ56" i="1"/>
  <c r="EJ57" i="1"/>
  <c r="EJ58" i="1"/>
  <c r="EJ59" i="1"/>
  <c r="EJ60" i="1"/>
  <c r="EJ61" i="1"/>
  <c r="EJ62" i="1"/>
  <c r="EJ63" i="1"/>
  <c r="EJ64" i="1"/>
  <c r="EJ65" i="1"/>
  <c r="EJ66" i="1"/>
  <c r="EJ67" i="1"/>
  <c r="EJ68" i="1"/>
  <c r="EJ69" i="1"/>
  <c r="EJ70" i="1"/>
  <c r="EJ71" i="1"/>
  <c r="EL5" i="1"/>
  <c r="EK5" i="1"/>
  <c r="EJ5" i="1"/>
  <c r="EI6" i="1"/>
  <c r="EI7" i="1"/>
  <c r="EI8" i="1"/>
  <c r="EI9" i="1"/>
  <c r="EI10" i="1"/>
  <c r="EI11" i="1"/>
  <c r="EI12" i="1"/>
  <c r="EI13" i="1"/>
  <c r="EI14" i="1"/>
  <c r="EI15" i="1"/>
  <c r="EI16" i="1"/>
  <c r="EI17" i="1"/>
  <c r="EI18" i="1"/>
  <c r="EI28" i="1"/>
  <c r="EI29" i="1"/>
  <c r="EI30" i="1"/>
  <c r="EI31" i="1"/>
  <c r="EI32" i="1"/>
  <c r="EI33" i="1"/>
  <c r="EI34" i="1"/>
  <c r="EI35" i="1"/>
  <c r="EI36" i="1"/>
  <c r="EI37" i="1"/>
  <c r="EI38" i="1"/>
  <c r="EI39" i="1"/>
  <c r="EI40" i="1"/>
  <c r="EI41" i="1"/>
  <c r="EI42" i="1"/>
  <c r="EI45" i="1"/>
  <c r="EI55" i="1"/>
  <c r="EI56" i="1"/>
  <c r="EI57" i="1"/>
  <c r="EI58" i="1"/>
  <c r="EI59" i="1"/>
  <c r="EI60" i="1"/>
  <c r="EI61" i="1"/>
  <c r="EI62" i="1"/>
  <c r="EI63" i="1"/>
  <c r="EI64" i="1"/>
  <c r="EI65" i="1"/>
  <c r="EI66" i="1"/>
  <c r="EI67" i="1"/>
  <c r="EI68" i="1"/>
  <c r="EI69" i="1"/>
  <c r="EI70" i="1"/>
  <c r="EI71" i="1"/>
  <c r="EI5" i="1"/>
  <c r="EH5" i="1"/>
  <c r="EH28" i="1"/>
  <c r="EH29" i="1"/>
  <c r="EH30" i="1"/>
  <c r="EH31" i="1"/>
  <c r="EH32" i="1"/>
  <c r="EH33" i="1"/>
  <c r="EH34" i="1"/>
  <c r="EH35" i="1"/>
  <c r="EH36" i="1"/>
  <c r="EH37" i="1"/>
  <c r="EH38" i="1"/>
  <c r="EH39" i="1"/>
  <c r="EH40" i="1"/>
  <c r="EH41" i="1"/>
  <c r="EH42" i="1"/>
  <c r="EH45" i="1"/>
  <c r="EH55" i="1"/>
  <c r="EH56" i="1"/>
  <c r="EH57" i="1"/>
  <c r="EH58" i="1"/>
  <c r="EH59" i="1"/>
  <c r="EH60" i="1"/>
  <c r="EH61" i="1"/>
  <c r="EH62" i="1"/>
  <c r="EH63" i="1"/>
  <c r="EH64" i="1"/>
  <c r="EH65" i="1"/>
  <c r="EH66" i="1"/>
  <c r="EH67" i="1"/>
  <c r="EH68" i="1"/>
  <c r="EH69" i="1"/>
  <c r="EH70" i="1"/>
  <c r="EH71" i="1"/>
  <c r="EH6" i="1"/>
  <c r="EH7" i="1"/>
  <c r="EH8" i="1"/>
  <c r="EH9" i="1"/>
  <c r="EH10" i="1"/>
  <c r="EH11" i="1"/>
  <c r="EH12" i="1"/>
  <c r="EH13" i="1"/>
  <c r="EH14" i="1"/>
  <c r="EH15" i="1"/>
  <c r="EH16" i="1"/>
  <c r="EH17" i="1"/>
  <c r="EH18" i="1"/>
  <c r="Y87" i="17"/>
  <c r="X87" i="17"/>
  <c r="W87" i="17"/>
  <c r="V87" i="17"/>
  <c r="U87" i="17"/>
  <c r="T87" i="17"/>
  <c r="S87" i="17"/>
  <c r="R87" i="17"/>
  <c r="Q87" i="17"/>
  <c r="W7" i="15"/>
  <c r="V7" i="15"/>
  <c r="U7" i="15"/>
  <c r="T7" i="15"/>
  <c r="S7" i="15"/>
  <c r="R7" i="15"/>
  <c r="Q7" i="15"/>
  <c r="P7" i="15"/>
  <c r="O7" i="15"/>
  <c r="E125" i="17"/>
  <c r="C125" i="17"/>
  <c r="M125" i="17"/>
  <c r="L125" i="17"/>
  <c r="K125" i="17"/>
  <c r="J125" i="17"/>
  <c r="I125" i="17"/>
  <c r="H125" i="17"/>
  <c r="G125" i="17"/>
  <c r="Y9" i="14"/>
  <c r="X9" i="14"/>
  <c r="W9" i="14"/>
  <c r="V9" i="14"/>
  <c r="U9" i="14"/>
  <c r="T9" i="14"/>
  <c r="S9" i="14"/>
  <c r="R9" i="14"/>
  <c r="Q9" i="14"/>
  <c r="R23" i="14"/>
  <c r="R20" i="14"/>
  <c r="Q23" i="14"/>
  <c r="Q20" i="14"/>
  <c r="W115" i="15"/>
  <c r="V115" i="15"/>
  <c r="U115" i="15"/>
  <c r="T115" i="15"/>
  <c r="S115" i="15"/>
  <c r="R115" i="15"/>
  <c r="Q115" i="15"/>
  <c r="P115" i="15"/>
  <c r="O115" i="15"/>
  <c r="W9" i="15"/>
  <c r="V9" i="15"/>
  <c r="U9" i="15"/>
  <c r="T9" i="15"/>
  <c r="S9" i="15"/>
  <c r="R9" i="15"/>
  <c r="Q9" i="15"/>
  <c r="P9" i="15"/>
  <c r="O9" i="15"/>
  <c r="EE25" i="1" l="1"/>
  <c r="EF25" i="1"/>
  <c r="EK25" i="1" s="1"/>
  <c r="EN4" i="1" s="1"/>
  <c r="EC52" i="1"/>
  <c r="EH52" i="1" s="1"/>
  <c r="EE52" i="1"/>
  <c r="EJ52" i="1" s="1"/>
  <c r="EG52" i="1"/>
  <c r="EL52" i="1" s="1"/>
  <c r="EC78" i="1"/>
  <c r="EH78" i="1" s="1"/>
  <c r="EF78" i="1"/>
  <c r="EK78" i="1" s="1"/>
  <c r="ED25" i="1"/>
  <c r="EI25" i="1" s="1"/>
  <c r="EC25" i="1"/>
  <c r="EG25" i="1"/>
  <c r="EL25" i="1" s="1"/>
  <c r="ED52" i="1"/>
  <c r="EI52" i="1" s="1"/>
  <c r="EF52" i="1"/>
  <c r="EK52" i="1" s="1"/>
  <c r="EO4" i="1" s="1"/>
  <c r="ED78" i="1"/>
  <c r="EI78" i="1" s="1"/>
  <c r="EE78" i="1"/>
  <c r="EJ78" i="1" s="1"/>
  <c r="EL78" i="1"/>
  <c r="EH25" i="1"/>
  <c r="EJ25" i="1"/>
  <c r="Y66" i="17"/>
  <c r="X66" i="17"/>
  <c r="W66" i="17"/>
  <c r="V66" i="17"/>
  <c r="U66" i="17"/>
  <c r="T66" i="17"/>
  <c r="S66" i="17"/>
  <c r="R66" i="17"/>
  <c r="Q66" i="17"/>
  <c r="Y52" i="17"/>
  <c r="X52" i="17"/>
  <c r="W52" i="17"/>
  <c r="V52" i="17"/>
  <c r="U52" i="17"/>
  <c r="T52" i="17"/>
  <c r="S52" i="17"/>
  <c r="R52" i="17"/>
  <c r="Q52" i="17"/>
  <c r="M83" i="17"/>
  <c r="L83" i="17"/>
  <c r="K83" i="17"/>
  <c r="J83" i="17"/>
  <c r="I83" i="17"/>
  <c r="H83" i="17"/>
  <c r="G83" i="17"/>
  <c r="E83" i="17"/>
  <c r="C83" i="17"/>
  <c r="Y93" i="14"/>
  <c r="X93" i="14"/>
  <c r="W93" i="14"/>
  <c r="V93" i="14"/>
  <c r="U93" i="14"/>
  <c r="T93" i="14"/>
  <c r="S93" i="14"/>
  <c r="R93" i="14"/>
  <c r="Q93" i="14"/>
  <c r="S23" i="14"/>
  <c r="Y20" i="14"/>
  <c r="X20" i="14"/>
  <c r="W20" i="14"/>
  <c r="V20" i="14"/>
  <c r="U20" i="14"/>
  <c r="T20" i="14"/>
  <c r="S20" i="14"/>
  <c r="M103" i="14"/>
  <c r="L103" i="14"/>
  <c r="K103" i="14"/>
  <c r="J103" i="14"/>
  <c r="I103" i="14"/>
  <c r="H103" i="14"/>
  <c r="G103" i="14"/>
  <c r="E103" i="14"/>
  <c r="C103" i="14"/>
  <c r="M19" i="14"/>
  <c r="L19" i="14"/>
  <c r="K19" i="14"/>
  <c r="J19" i="14"/>
  <c r="I19" i="14"/>
  <c r="H19" i="14"/>
  <c r="G19" i="14"/>
  <c r="E19" i="14"/>
  <c r="C19" i="14"/>
  <c r="W70" i="15"/>
  <c r="V70" i="15"/>
  <c r="U70" i="15"/>
  <c r="T70" i="15"/>
  <c r="S70" i="15"/>
  <c r="R70" i="15"/>
  <c r="Q70" i="15"/>
  <c r="P70" i="15"/>
  <c r="O70" i="15"/>
  <c r="W20" i="15"/>
  <c r="V20" i="15"/>
  <c r="U20" i="15"/>
  <c r="T20" i="15"/>
  <c r="S20" i="15"/>
  <c r="R20" i="15"/>
  <c r="Q20" i="15"/>
  <c r="P20" i="15"/>
  <c r="O20" i="15"/>
  <c r="J104" i="15"/>
  <c r="I104" i="15"/>
  <c r="H104" i="15"/>
  <c r="F104" i="15"/>
  <c r="E104" i="15"/>
  <c r="K104" i="15"/>
  <c r="D104" i="15"/>
  <c r="C104" i="15"/>
  <c r="E105" i="15"/>
  <c r="D105" i="15"/>
  <c r="C105" i="15"/>
  <c r="C113" i="14"/>
  <c r="D26" i="15"/>
  <c r="E26" i="15"/>
  <c r="F26" i="15"/>
  <c r="G26" i="15"/>
  <c r="H26" i="15"/>
  <c r="I26" i="15"/>
  <c r="J26" i="15"/>
  <c r="K26" i="15"/>
  <c r="C26" i="15"/>
  <c r="K25" i="15"/>
  <c r="J25" i="15"/>
  <c r="I25" i="15"/>
  <c r="H25" i="15"/>
  <c r="G25" i="15"/>
  <c r="F25" i="15"/>
  <c r="E25" i="15"/>
  <c r="D25" i="15"/>
  <c r="C25" i="15"/>
  <c r="AN10" i="2"/>
  <c r="EP4" i="1" l="1"/>
  <c r="EK79" i="1"/>
  <c r="EJ4" i="1"/>
  <c r="AF28" i="1" s="1"/>
  <c r="EK53" i="1"/>
  <c r="EK26" i="1"/>
  <c r="EL4" i="1"/>
  <c r="AF33" i="1" s="1"/>
  <c r="EH4" i="1"/>
  <c r="AB28" i="1" s="1"/>
  <c r="EI4" i="1"/>
  <c r="AD28" i="1" s="1"/>
  <c r="D111" i="1"/>
  <c r="Q104" i="1"/>
  <c r="W111" i="1"/>
  <c r="C8" i="3" s="1"/>
  <c r="W110" i="1"/>
  <c r="W109" i="1"/>
  <c r="W108" i="1"/>
  <c r="W107" i="1"/>
  <c r="U102" i="1"/>
  <c r="O102" i="1"/>
  <c r="H104" i="1"/>
  <c r="M113" i="14"/>
  <c r="L113" i="14"/>
  <c r="K113" i="14"/>
  <c r="J113" i="14"/>
  <c r="I113" i="14"/>
  <c r="H113" i="14"/>
  <c r="G113" i="14"/>
  <c r="E113" i="14"/>
  <c r="EK4" i="1" l="1"/>
  <c r="X35" i="1" s="1"/>
  <c r="C10" i="3"/>
  <c r="E10" i="3" s="1"/>
  <c r="V19" i="1"/>
  <c r="E6" i="3"/>
  <c r="X11" i="1"/>
  <c r="Y11" i="1" s="1"/>
  <c r="X20" i="1"/>
  <c r="Y20" i="1" s="1"/>
  <c r="X12" i="1"/>
  <c r="Y12" i="1" s="1"/>
  <c r="X13" i="1"/>
  <c r="Y13" i="1" s="1"/>
  <c r="X14" i="1"/>
  <c r="Y14" i="1" s="1"/>
  <c r="X15" i="1"/>
  <c r="Y15" i="1" s="1"/>
  <c r="X16" i="1"/>
  <c r="Y16" i="1" s="1"/>
  <c r="X17" i="1"/>
  <c r="Y17" i="1" s="1"/>
  <c r="X18" i="1"/>
  <c r="Y18" i="1" s="1"/>
  <c r="X19" i="1"/>
  <c r="Y19" i="1" s="1"/>
  <c r="K86" i="15"/>
  <c r="J86" i="15"/>
  <c r="I86" i="15"/>
  <c r="H86" i="15"/>
  <c r="G86" i="15"/>
  <c r="F86" i="15"/>
  <c r="E86" i="15"/>
  <c r="D86" i="15"/>
  <c r="C86" i="15"/>
  <c r="G3" i="17"/>
  <c r="G3" i="14"/>
  <c r="C35" i="3"/>
  <c r="B36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13" i="3"/>
  <c r="M9" i="17"/>
  <c r="L9" i="17"/>
  <c r="K9" i="17"/>
  <c r="J9" i="17"/>
  <c r="H9" i="17"/>
  <c r="G9" i="17"/>
  <c r="E9" i="17"/>
  <c r="C9" i="17"/>
  <c r="Y83" i="14"/>
  <c r="X83" i="14"/>
  <c r="W83" i="14"/>
  <c r="V83" i="14"/>
  <c r="U83" i="14"/>
  <c r="T83" i="14"/>
  <c r="S83" i="14"/>
  <c r="R83" i="14"/>
  <c r="Q83" i="14"/>
  <c r="Y124" i="14"/>
  <c r="X124" i="14"/>
  <c r="W124" i="14"/>
  <c r="V124" i="14"/>
  <c r="U124" i="14"/>
  <c r="T124" i="14"/>
  <c r="S124" i="14"/>
  <c r="R124" i="14"/>
  <c r="Q124" i="14"/>
  <c r="Y61" i="14"/>
  <c r="X61" i="14"/>
  <c r="W61" i="14"/>
  <c r="V61" i="14"/>
  <c r="U61" i="14"/>
  <c r="T61" i="14"/>
  <c r="S61" i="14"/>
  <c r="R61" i="14"/>
  <c r="Q61" i="14"/>
  <c r="Y30" i="14"/>
  <c r="X30" i="14"/>
  <c r="W30" i="14"/>
  <c r="V30" i="14"/>
  <c r="T30" i="14"/>
  <c r="S30" i="14"/>
  <c r="R30" i="14"/>
  <c r="Q30" i="14"/>
  <c r="C65" i="14"/>
  <c r="M84" i="14"/>
  <c r="L84" i="14"/>
  <c r="K84" i="14"/>
  <c r="J84" i="14"/>
  <c r="I84" i="14"/>
  <c r="H84" i="14"/>
  <c r="G84" i="14"/>
  <c r="E84" i="14"/>
  <c r="C84" i="14"/>
  <c r="M73" i="14"/>
  <c r="L73" i="14"/>
  <c r="K73" i="14"/>
  <c r="J73" i="14"/>
  <c r="I73" i="14"/>
  <c r="H73" i="14"/>
  <c r="G73" i="14"/>
  <c r="E73" i="14"/>
  <c r="C73" i="14"/>
  <c r="M65" i="14"/>
  <c r="L65" i="14"/>
  <c r="K65" i="14"/>
  <c r="J65" i="14"/>
  <c r="H65" i="14"/>
  <c r="G65" i="14"/>
  <c r="E65" i="14"/>
  <c r="P35" i="15"/>
  <c r="Q35" i="15"/>
  <c r="R35" i="15"/>
  <c r="S35" i="15"/>
  <c r="T35" i="15"/>
  <c r="U35" i="15"/>
  <c r="V35" i="15"/>
  <c r="W35" i="15"/>
  <c r="O35" i="15"/>
  <c r="Y31" i="17"/>
  <c r="X31" i="17"/>
  <c r="W31" i="17"/>
  <c r="V31" i="17"/>
  <c r="U31" i="17"/>
  <c r="T31" i="17"/>
  <c r="S31" i="17"/>
  <c r="R31" i="17"/>
  <c r="Q31" i="17"/>
  <c r="Y20" i="17"/>
  <c r="X20" i="17"/>
  <c r="W20" i="17"/>
  <c r="V20" i="17"/>
  <c r="U20" i="17"/>
  <c r="T20" i="17"/>
  <c r="S20" i="17"/>
  <c r="R20" i="17"/>
  <c r="Q20" i="17"/>
  <c r="Y9" i="17"/>
  <c r="X9" i="17"/>
  <c r="W9" i="17"/>
  <c r="V9" i="17"/>
  <c r="U9" i="17"/>
  <c r="T9" i="17"/>
  <c r="S9" i="17"/>
  <c r="R9" i="17"/>
  <c r="Q9" i="17"/>
  <c r="M40" i="17"/>
  <c r="L40" i="17"/>
  <c r="K40" i="17"/>
  <c r="J40" i="17"/>
  <c r="I40" i="17"/>
  <c r="H40" i="17"/>
  <c r="G40" i="17"/>
  <c r="E40" i="17"/>
  <c r="C40" i="17"/>
  <c r="M100" i="17"/>
  <c r="L100" i="17"/>
  <c r="K100" i="17"/>
  <c r="J100" i="17"/>
  <c r="I100" i="17"/>
  <c r="H100" i="17"/>
  <c r="G100" i="17"/>
  <c r="E100" i="17"/>
  <c r="C100" i="17"/>
  <c r="M73" i="17"/>
  <c r="L73" i="17"/>
  <c r="K73" i="17"/>
  <c r="J73" i="17"/>
  <c r="I73" i="17"/>
  <c r="H73" i="17"/>
  <c r="G73" i="17"/>
  <c r="E73" i="17"/>
  <c r="C73" i="17"/>
  <c r="M62" i="17"/>
  <c r="L62" i="17"/>
  <c r="K62" i="17"/>
  <c r="J62" i="17"/>
  <c r="I62" i="17"/>
  <c r="H62" i="17"/>
  <c r="G62" i="17"/>
  <c r="E62" i="17"/>
  <c r="C62" i="17"/>
  <c r="E18" i="17"/>
  <c r="M18" i="17"/>
  <c r="L18" i="17"/>
  <c r="K18" i="17"/>
  <c r="J18" i="17"/>
  <c r="I18" i="17"/>
  <c r="H18" i="17"/>
  <c r="G18" i="17"/>
  <c r="C18" i="17"/>
  <c r="Y105" i="14"/>
  <c r="X105" i="14"/>
  <c r="W105" i="14"/>
  <c r="V105" i="14"/>
  <c r="U105" i="14"/>
  <c r="T105" i="14"/>
  <c r="S105" i="14"/>
  <c r="R105" i="14"/>
  <c r="Q105" i="14"/>
  <c r="Y114" i="14"/>
  <c r="X114" i="14"/>
  <c r="W114" i="14"/>
  <c r="V114" i="14"/>
  <c r="T114" i="14"/>
  <c r="S114" i="14"/>
  <c r="R114" i="14"/>
  <c r="Q114" i="14"/>
  <c r="Q51" i="14"/>
  <c r="Y51" i="14"/>
  <c r="X51" i="14"/>
  <c r="W51" i="14"/>
  <c r="V51" i="14"/>
  <c r="U51" i="14"/>
  <c r="T51" i="14"/>
  <c r="S51" i="14"/>
  <c r="R51" i="14"/>
  <c r="Y40" i="14"/>
  <c r="X40" i="14"/>
  <c r="W40" i="14"/>
  <c r="V40" i="14"/>
  <c r="U40" i="14"/>
  <c r="T40" i="14"/>
  <c r="S40" i="14"/>
  <c r="R40" i="14"/>
  <c r="Q40" i="14"/>
  <c r="M94" i="14"/>
  <c r="L94" i="14"/>
  <c r="K94" i="14"/>
  <c r="J94" i="14"/>
  <c r="H94" i="14"/>
  <c r="G94" i="14"/>
  <c r="E94" i="14"/>
  <c r="C94" i="14"/>
  <c r="M52" i="14"/>
  <c r="L52" i="14"/>
  <c r="K52" i="14"/>
  <c r="J52" i="14"/>
  <c r="I52" i="14"/>
  <c r="H52" i="14"/>
  <c r="G52" i="14"/>
  <c r="E52" i="14"/>
  <c r="C52" i="14"/>
  <c r="M29" i="14"/>
  <c r="L29" i="14"/>
  <c r="K29" i="14"/>
  <c r="J29" i="14"/>
  <c r="I29" i="14"/>
  <c r="H29" i="14"/>
  <c r="G29" i="14"/>
  <c r="E29" i="14"/>
  <c r="C29" i="14"/>
  <c r="P22" i="16"/>
  <c r="Q22" i="16"/>
  <c r="R22" i="16"/>
  <c r="T22" i="16"/>
  <c r="U22" i="16"/>
  <c r="V22" i="16"/>
  <c r="W22" i="16"/>
  <c r="O22" i="16"/>
  <c r="P15" i="16"/>
  <c r="Q15" i="16"/>
  <c r="R15" i="16"/>
  <c r="S15" i="16"/>
  <c r="T15" i="16"/>
  <c r="U15" i="16"/>
  <c r="V15" i="16"/>
  <c r="W15" i="16"/>
  <c r="O15" i="16"/>
  <c r="P7" i="16"/>
  <c r="Q7" i="16"/>
  <c r="R7" i="16"/>
  <c r="S7" i="16"/>
  <c r="T7" i="16"/>
  <c r="U7" i="16"/>
  <c r="V7" i="16"/>
  <c r="W7" i="16"/>
  <c r="O7" i="16"/>
  <c r="D31" i="16"/>
  <c r="E31" i="16"/>
  <c r="F31" i="16"/>
  <c r="G31" i="16"/>
  <c r="H31" i="16"/>
  <c r="I31" i="16"/>
  <c r="J31" i="16"/>
  <c r="K31" i="16"/>
  <c r="C31" i="16"/>
  <c r="D22" i="16"/>
  <c r="E22" i="16"/>
  <c r="F22" i="16"/>
  <c r="G22" i="16"/>
  <c r="H22" i="16"/>
  <c r="I22" i="16"/>
  <c r="J22" i="16"/>
  <c r="K22" i="16"/>
  <c r="C22" i="16"/>
  <c r="D15" i="16"/>
  <c r="E15" i="16"/>
  <c r="F15" i="16"/>
  <c r="G15" i="16"/>
  <c r="H15" i="16"/>
  <c r="I15" i="16"/>
  <c r="J15" i="16"/>
  <c r="K15" i="16"/>
  <c r="C15" i="16"/>
  <c r="D7" i="16"/>
  <c r="E7" i="16"/>
  <c r="F7" i="16"/>
  <c r="G7" i="16"/>
  <c r="H7" i="16"/>
  <c r="I7" i="16"/>
  <c r="J7" i="16"/>
  <c r="K7" i="16"/>
  <c r="C7" i="16"/>
  <c r="W88" i="15"/>
  <c r="V88" i="15"/>
  <c r="U88" i="15"/>
  <c r="T88" i="15"/>
  <c r="S88" i="15"/>
  <c r="R88" i="15"/>
  <c r="Q88" i="15"/>
  <c r="P88" i="15"/>
  <c r="O88" i="15"/>
  <c r="Q36" i="15"/>
  <c r="P36" i="15"/>
  <c r="O36" i="15"/>
  <c r="C87" i="15"/>
  <c r="K114" i="15"/>
  <c r="J114" i="15"/>
  <c r="I114" i="15"/>
  <c r="H114" i="15"/>
  <c r="G114" i="15"/>
  <c r="F114" i="15"/>
  <c r="E114" i="15"/>
  <c r="D114" i="15"/>
  <c r="C114" i="15"/>
  <c r="E97" i="15"/>
  <c r="D97" i="15"/>
  <c r="C97" i="15"/>
  <c r="E87" i="15"/>
  <c r="D87" i="15"/>
  <c r="N44" i="1"/>
  <c r="P28" i="2"/>
  <c r="P10" i="2"/>
  <c r="N66" i="2"/>
  <c r="D18" i="1"/>
  <c r="T26" i="2"/>
  <c r="E58" i="2"/>
  <c r="E59" i="2"/>
  <c r="E60" i="2"/>
  <c r="E61" i="2"/>
  <c r="E63" i="2"/>
  <c r="E57" i="2"/>
  <c r="E37" i="2"/>
  <c r="E42" i="2"/>
  <c r="E29" i="2"/>
  <c r="J25" i="1"/>
  <c r="J23" i="1"/>
  <c r="E7" i="3" l="1"/>
  <c r="E4" i="3"/>
  <c r="E8" i="3"/>
  <c r="E5" i="3"/>
  <c r="J66" i="2"/>
  <c r="J58" i="2"/>
  <c r="J59" i="2"/>
  <c r="J60" i="2"/>
  <c r="J61" i="2"/>
  <c r="J63" i="2"/>
  <c r="J57" i="2"/>
  <c r="J30" i="2"/>
  <c r="E30" i="2" s="1"/>
  <c r="J32" i="2"/>
  <c r="E32" i="2" s="1"/>
  <c r="J33" i="2"/>
  <c r="E33" i="2" s="1"/>
  <c r="J34" i="2"/>
  <c r="E34" i="2" s="1"/>
  <c r="J35" i="2"/>
  <c r="E35" i="2" s="1"/>
  <c r="J37" i="2"/>
  <c r="J38" i="2"/>
  <c r="E38" i="2" s="1"/>
  <c r="J39" i="2"/>
  <c r="E39" i="2" s="1"/>
  <c r="J42" i="2"/>
  <c r="J29" i="2"/>
  <c r="C3" i="3" l="1"/>
  <c r="E3" i="3" s="1"/>
  <c r="B31" i="3" s="1"/>
  <c r="B3" i="2"/>
  <c r="B2" i="2"/>
  <c r="P22" i="2"/>
  <c r="P12" i="2"/>
  <c r="P18" i="2"/>
  <c r="P19" i="2"/>
  <c r="P68" i="2"/>
  <c r="P56" i="2"/>
  <c r="P50" i="2"/>
  <c r="P44" i="2"/>
  <c r="P17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W72" i="14" l="1"/>
  <c r="S72" i="14"/>
  <c r="X113" i="17"/>
  <c r="T113" i="17"/>
  <c r="Y78" i="17"/>
  <c r="U78" i="17"/>
  <c r="Q78" i="17"/>
  <c r="Y40" i="17"/>
  <c r="U40" i="17"/>
  <c r="C28" i="17"/>
  <c r="L51" i="17"/>
  <c r="H51" i="17"/>
  <c r="M28" i="17"/>
  <c r="I28" i="17"/>
  <c r="X72" i="14"/>
  <c r="T72" i="14"/>
  <c r="Q72" i="14"/>
  <c r="Y113" i="17"/>
  <c r="U113" i="17"/>
  <c r="Q113" i="17"/>
  <c r="V78" i="17"/>
  <c r="R78" i="17"/>
  <c r="V40" i="17"/>
  <c r="R40" i="17"/>
  <c r="M51" i="17"/>
  <c r="I51" i="17"/>
  <c r="C51" i="17"/>
  <c r="J28" i="17"/>
  <c r="E28" i="17"/>
  <c r="Y72" i="14"/>
  <c r="U72" i="14"/>
  <c r="V113" i="17"/>
  <c r="W78" i="17"/>
  <c r="W40" i="17"/>
  <c r="E51" i="17"/>
  <c r="K28" i="17"/>
  <c r="V72" i="14"/>
  <c r="R72" i="14"/>
  <c r="W113" i="17"/>
  <c r="S113" i="17"/>
  <c r="X78" i="17"/>
  <c r="T78" i="17"/>
  <c r="Q40" i="17"/>
  <c r="X40" i="17"/>
  <c r="T40" i="17"/>
  <c r="K51" i="17"/>
  <c r="G51" i="17"/>
  <c r="L28" i="17"/>
  <c r="H28" i="17"/>
  <c r="R113" i="17"/>
  <c r="S78" i="17"/>
  <c r="S40" i="17"/>
  <c r="J51" i="17"/>
  <c r="G28" i="17"/>
  <c r="AF19" i="1"/>
  <c r="AN11" i="2"/>
  <c r="AM3" i="2" s="1"/>
  <c r="P13" i="2"/>
  <c r="V24" i="1" l="1"/>
  <c r="D7" i="15" l="1"/>
  <c r="I67" i="15"/>
  <c r="E67" i="15"/>
  <c r="K16" i="15"/>
  <c r="G16" i="15"/>
  <c r="C16" i="15"/>
  <c r="J67" i="15"/>
  <c r="F67" i="15"/>
  <c r="H16" i="15"/>
  <c r="D16" i="15"/>
  <c r="K67" i="15"/>
  <c r="G67" i="15"/>
  <c r="C67" i="15"/>
  <c r="I16" i="15"/>
  <c r="E16" i="15"/>
  <c r="H67" i="15"/>
  <c r="D67" i="15"/>
  <c r="J16" i="15"/>
  <c r="F16" i="15"/>
  <c r="J7" i="15"/>
  <c r="U45" i="15"/>
  <c r="Q45" i="15"/>
  <c r="C7" i="15"/>
  <c r="E7" i="15"/>
  <c r="C95" i="15"/>
  <c r="H7" i="15"/>
  <c r="T45" i="15"/>
  <c r="W45" i="15"/>
  <c r="P45" i="15"/>
  <c r="E95" i="15"/>
  <c r="V45" i="15"/>
  <c r="S45" i="15"/>
  <c r="R45" i="15"/>
  <c r="I7" i="15"/>
  <c r="G7" i="15"/>
  <c r="K7" i="15"/>
  <c r="F7" i="15"/>
  <c r="K95" i="15"/>
  <c r="J95" i="15"/>
  <c r="O45" i="15"/>
  <c r="H95" i="15"/>
  <c r="G95" i="15"/>
  <c r="F95" i="15"/>
  <c r="I95" i="15"/>
  <c r="D95" i="15"/>
  <c r="P66" i="2" l="1"/>
  <c r="E66" i="2" s="1"/>
  <c r="P64" i="2"/>
  <c r="P26" i="2"/>
  <c r="AM4" i="2" l="1"/>
  <c r="V4" i="2"/>
  <c r="J3" i="2"/>
  <c r="T25" i="2"/>
  <c r="D5" i="2"/>
  <c r="D6" i="2" s="1"/>
  <c r="F115" i="1"/>
  <c r="L121" i="1"/>
  <c r="D121" i="1" s="1"/>
  <c r="N115" i="1"/>
  <c r="P117" i="1"/>
  <c r="D117" i="1" s="1"/>
  <c r="L119" i="1"/>
  <c r="D119" i="1" s="1"/>
  <c r="P123" i="1"/>
  <c r="D123" i="1" s="1"/>
  <c r="P125" i="1"/>
  <c r="D125" i="1" s="1"/>
  <c r="C36" i="3" l="1"/>
  <c r="AM6" i="2"/>
  <c r="W2" i="1" l="1"/>
  <c r="B8" i="1"/>
  <c r="N8" i="1" s="1"/>
  <c r="T7" i="1" s="1"/>
  <c r="B10" i="1"/>
  <c r="B12" i="1"/>
  <c r="B14" i="1"/>
  <c r="N14" i="1" s="1"/>
  <c r="B16" i="1"/>
  <c r="N16" i="1" s="1"/>
  <c r="B6" i="1"/>
  <c r="S126" i="14" l="1"/>
  <c r="R126" i="14"/>
  <c r="Q126" i="14"/>
  <c r="Y54" i="14"/>
  <c r="R54" i="14"/>
  <c r="V54" i="14"/>
  <c r="S54" i="14"/>
  <c r="Q54" i="14"/>
  <c r="E3" i="14"/>
  <c r="G97" i="14"/>
  <c r="E11" i="14"/>
  <c r="E97" i="14"/>
  <c r="C11" i="14"/>
  <c r="J12" i="14"/>
  <c r="H97" i="14"/>
  <c r="G11" i="14"/>
  <c r="H12" i="14"/>
  <c r="G12" i="14"/>
  <c r="E12" i="14"/>
  <c r="M97" i="14"/>
  <c r="C12" i="14"/>
  <c r="G32" i="14"/>
  <c r="H32" i="14"/>
  <c r="E32" i="14"/>
  <c r="H76" i="14"/>
  <c r="G76" i="14"/>
  <c r="E76" i="14"/>
  <c r="C76" i="14"/>
  <c r="C32" i="14"/>
  <c r="F68" i="1"/>
  <c r="F92" i="1"/>
  <c r="F56" i="1"/>
  <c r="F80" i="1"/>
  <c r="J92" i="1"/>
  <c r="J80" i="1"/>
  <c r="J68" i="1"/>
  <c r="J56" i="1"/>
  <c r="J44" i="1"/>
  <c r="S116" i="14"/>
  <c r="R116" i="14"/>
  <c r="T116" i="14"/>
  <c r="F25" i="1"/>
  <c r="B25" i="1" s="1"/>
  <c r="P81" i="15"/>
  <c r="Q71" i="15"/>
  <c r="R46" i="15"/>
  <c r="G115" i="15"/>
  <c r="H96" i="15"/>
  <c r="I78" i="15"/>
  <c r="J68" i="15"/>
  <c r="K57" i="15"/>
  <c r="C57" i="15"/>
  <c r="D35" i="15"/>
  <c r="E17" i="15"/>
  <c r="W81" i="15"/>
  <c r="O81" i="15"/>
  <c r="P71" i="15"/>
  <c r="Q46" i="15"/>
  <c r="F115" i="15"/>
  <c r="G96" i="15"/>
  <c r="H78" i="15"/>
  <c r="I68" i="15"/>
  <c r="J57" i="15"/>
  <c r="K35" i="15"/>
  <c r="C35" i="15"/>
  <c r="D17" i="15"/>
  <c r="Q81" i="15"/>
  <c r="H115" i="15"/>
  <c r="K68" i="15"/>
  <c r="E35" i="15"/>
  <c r="V81" i="15"/>
  <c r="W71" i="15"/>
  <c r="O71" i="15"/>
  <c r="P46" i="15"/>
  <c r="E115" i="15"/>
  <c r="F96" i="15"/>
  <c r="G78" i="15"/>
  <c r="H68" i="15"/>
  <c r="I57" i="15"/>
  <c r="J35" i="15"/>
  <c r="K17" i="15"/>
  <c r="C17" i="15"/>
  <c r="R71" i="15"/>
  <c r="S46" i="15"/>
  <c r="J78" i="15"/>
  <c r="D57" i="15"/>
  <c r="U81" i="15"/>
  <c r="V71" i="15"/>
  <c r="W46" i="15"/>
  <c r="O46" i="15"/>
  <c r="D115" i="15"/>
  <c r="E96" i="15"/>
  <c r="F78" i="15"/>
  <c r="G68" i="15"/>
  <c r="H57" i="15"/>
  <c r="I35" i="15"/>
  <c r="J17" i="15"/>
  <c r="T81" i="15"/>
  <c r="U71" i="15"/>
  <c r="V46" i="15"/>
  <c r="K115" i="15"/>
  <c r="C115" i="15"/>
  <c r="E78" i="15"/>
  <c r="F68" i="15"/>
  <c r="H35" i="15"/>
  <c r="I17" i="15"/>
  <c r="D96" i="15"/>
  <c r="G57" i="15"/>
  <c r="I96" i="15"/>
  <c r="C68" i="15"/>
  <c r="F17" i="15"/>
  <c r="S81" i="15"/>
  <c r="T71" i="15"/>
  <c r="U46" i="15"/>
  <c r="J115" i="15"/>
  <c r="K96" i="15"/>
  <c r="C96" i="15"/>
  <c r="D78" i="15"/>
  <c r="E68" i="15"/>
  <c r="F57" i="15"/>
  <c r="G35" i="15"/>
  <c r="H17" i="15"/>
  <c r="R81" i="15"/>
  <c r="S71" i="15"/>
  <c r="T46" i="15"/>
  <c r="I115" i="15"/>
  <c r="J96" i="15"/>
  <c r="K78" i="15"/>
  <c r="C78" i="15"/>
  <c r="D68" i="15"/>
  <c r="E57" i="15"/>
  <c r="F35" i="15"/>
  <c r="G17" i="15"/>
  <c r="O56" i="15"/>
  <c r="Q61" i="15"/>
  <c r="Q56" i="15"/>
  <c r="P57" i="15"/>
  <c r="P56" i="15"/>
  <c r="J70" i="2"/>
  <c r="Q65" i="15"/>
  <c r="P60" i="15"/>
  <c r="Q62" i="15"/>
  <c r="Q60" i="15"/>
  <c r="O60" i="15"/>
  <c r="Q58" i="15"/>
  <c r="O58" i="15"/>
  <c r="P58" i="15"/>
  <c r="R11" i="1"/>
  <c r="R22" i="14"/>
  <c r="Q22" i="14"/>
  <c r="X10" i="14"/>
  <c r="V10" i="14"/>
  <c r="T10" i="14"/>
  <c r="R10" i="14"/>
  <c r="Y10" i="14"/>
  <c r="W10" i="14"/>
  <c r="U10" i="14"/>
  <c r="S10" i="14"/>
  <c r="Q10" i="14"/>
  <c r="Y95" i="14"/>
  <c r="W95" i="14"/>
  <c r="U95" i="14"/>
  <c r="S95" i="14"/>
  <c r="Q95" i="14"/>
  <c r="Y22" i="14"/>
  <c r="W22" i="14"/>
  <c r="U22" i="14"/>
  <c r="S22" i="14"/>
  <c r="H106" i="14"/>
  <c r="L104" i="14"/>
  <c r="J104" i="14"/>
  <c r="H104" i="14"/>
  <c r="E104" i="14"/>
  <c r="R57" i="15"/>
  <c r="R56" i="15"/>
  <c r="D36" i="15"/>
  <c r="K9" i="15"/>
  <c r="H9" i="15"/>
  <c r="F9" i="15"/>
  <c r="D9" i="15"/>
  <c r="X95" i="14"/>
  <c r="V95" i="14"/>
  <c r="T95" i="14"/>
  <c r="R95" i="14"/>
  <c r="X22" i="14"/>
  <c r="V22" i="14"/>
  <c r="T22" i="14"/>
  <c r="M104" i="14"/>
  <c r="K104" i="14"/>
  <c r="I104" i="14"/>
  <c r="G104" i="14"/>
  <c r="C104" i="14"/>
  <c r="O57" i="15"/>
  <c r="T61" i="15"/>
  <c r="T56" i="15"/>
  <c r="Q57" i="15"/>
  <c r="R61" i="15"/>
  <c r="E36" i="15"/>
  <c r="C36" i="15"/>
  <c r="J9" i="15"/>
  <c r="G9" i="15"/>
  <c r="E9" i="15"/>
  <c r="C9" i="15"/>
  <c r="I42" i="14"/>
  <c r="K42" i="14"/>
  <c r="M42" i="14"/>
  <c r="G106" i="14"/>
  <c r="C106" i="14"/>
  <c r="H42" i="14"/>
  <c r="J42" i="14"/>
  <c r="L42" i="14"/>
  <c r="L106" i="14"/>
  <c r="E106" i="14"/>
  <c r="T55" i="15"/>
  <c r="O55" i="15"/>
  <c r="U55" i="15"/>
  <c r="P55" i="15"/>
  <c r="V55" i="15"/>
  <c r="Q55" i="15"/>
  <c r="W55" i="15"/>
  <c r="R55" i="15"/>
  <c r="T65" i="15"/>
  <c r="T62" i="15"/>
  <c r="T60" i="15"/>
  <c r="T58" i="15"/>
  <c r="R62" i="15"/>
  <c r="R58" i="15"/>
  <c r="R65" i="15"/>
  <c r="R60" i="15"/>
  <c r="F44" i="1"/>
  <c r="F104" i="1"/>
  <c r="U74" i="14"/>
  <c r="Y74" i="14"/>
  <c r="Q107" i="14"/>
  <c r="S53" i="14"/>
  <c r="W53" i="14"/>
  <c r="U42" i="14"/>
  <c r="Y42" i="14"/>
  <c r="E96" i="14"/>
  <c r="G88" i="14"/>
  <c r="H67" i="14"/>
  <c r="C46" i="14"/>
  <c r="T74" i="14"/>
  <c r="X74" i="14"/>
  <c r="S107" i="14"/>
  <c r="R53" i="14"/>
  <c r="V53" i="14"/>
  <c r="Q53" i="14"/>
  <c r="T42" i="14"/>
  <c r="X42" i="14"/>
  <c r="G96" i="14"/>
  <c r="K88" i="14"/>
  <c r="K67" i="14"/>
  <c r="C67" i="14"/>
  <c r="E46" i="14"/>
  <c r="S74" i="14"/>
  <c r="W74" i="14"/>
  <c r="R107" i="14"/>
  <c r="U53" i="14"/>
  <c r="Y53" i="14"/>
  <c r="S42" i="14"/>
  <c r="W42" i="14"/>
  <c r="H96" i="14"/>
  <c r="L88" i="14"/>
  <c r="C88" i="14"/>
  <c r="E67" i="14"/>
  <c r="G46" i="14"/>
  <c r="R74" i="14"/>
  <c r="V74" i="14"/>
  <c r="Q74" i="14"/>
  <c r="U107" i="14"/>
  <c r="T53" i="14"/>
  <c r="X53" i="14"/>
  <c r="R42" i="14"/>
  <c r="V42" i="14"/>
  <c r="Q42" i="14"/>
  <c r="C96" i="14"/>
  <c r="E88" i="14"/>
  <c r="G67" i="14"/>
  <c r="M46" i="14"/>
  <c r="E115" i="14"/>
  <c r="M115" i="14"/>
  <c r="I115" i="14"/>
  <c r="W85" i="14"/>
  <c r="S85" i="14"/>
  <c r="S63" i="14"/>
  <c r="W63" i="14"/>
  <c r="J75" i="14"/>
  <c r="E75" i="14"/>
  <c r="L115" i="14"/>
  <c r="Q116" i="14"/>
  <c r="R85" i="14"/>
  <c r="J115" i="14"/>
  <c r="X85" i="14"/>
  <c r="T85" i="14"/>
  <c r="R63" i="14"/>
  <c r="V63" i="14"/>
  <c r="Q63" i="14"/>
  <c r="K75" i="14"/>
  <c r="G75" i="14"/>
  <c r="C97" i="14"/>
  <c r="C115" i="14"/>
  <c r="H115" i="14"/>
  <c r="T63" i="14"/>
  <c r="M75" i="14"/>
  <c r="C75" i="14"/>
  <c r="K115" i="14"/>
  <c r="G115" i="14"/>
  <c r="Y85" i="14"/>
  <c r="U85" i="14"/>
  <c r="Q85" i="14"/>
  <c r="U63" i="14"/>
  <c r="Y63" i="14"/>
  <c r="L75" i="14"/>
  <c r="H75" i="14"/>
  <c r="C42" i="14"/>
  <c r="E42" i="14"/>
  <c r="V85" i="14"/>
  <c r="X63" i="14"/>
  <c r="I75" i="14"/>
  <c r="G42" i="14"/>
  <c r="E33" i="3"/>
  <c r="R7" i="1"/>
  <c r="F23" i="1"/>
  <c r="B23" i="1" s="1"/>
  <c r="J20" i="2"/>
  <c r="E20" i="2" s="1"/>
  <c r="J22" i="2"/>
  <c r="E22" i="2" s="1"/>
  <c r="J21" i="2"/>
  <c r="E21" i="2" s="1"/>
  <c r="N12" i="1"/>
  <c r="F31" i="1"/>
  <c r="O15" i="1"/>
  <c r="J26" i="2"/>
  <c r="J54" i="2"/>
  <c r="E54" i="2" s="1"/>
  <c r="J52" i="2"/>
  <c r="E52" i="2" s="1"/>
  <c r="J51" i="2"/>
  <c r="E51" i="2" s="1"/>
  <c r="J49" i="2"/>
  <c r="E49" i="2" s="1"/>
  <c r="J47" i="2"/>
  <c r="E47" i="2" s="1"/>
  <c r="J18" i="2"/>
  <c r="E18" i="2" s="1"/>
  <c r="J53" i="2"/>
  <c r="E53" i="2" s="1"/>
  <c r="J50" i="2"/>
  <c r="E50" i="2" s="1"/>
  <c r="J48" i="2"/>
  <c r="E48" i="2" s="1"/>
  <c r="J46" i="2"/>
  <c r="E46" i="2" s="1"/>
  <c r="J17" i="2"/>
  <c r="E17" i="2" s="1"/>
  <c r="J12" i="2"/>
  <c r="E12" i="2" s="1"/>
  <c r="J67" i="2"/>
  <c r="E67" i="2" s="1"/>
  <c r="J68" i="2"/>
  <c r="E68" i="2" s="1"/>
  <c r="J65" i="2"/>
  <c r="E65" i="2" s="1"/>
  <c r="J43" i="2"/>
  <c r="E43" i="2" s="1"/>
  <c r="J45" i="2"/>
  <c r="J25" i="2"/>
  <c r="J10" i="2"/>
  <c r="N6" i="1"/>
  <c r="B33" i="3"/>
  <c r="N10" i="1"/>
  <c r="G33" i="17" l="1"/>
  <c r="K33" i="17"/>
  <c r="H33" i="17"/>
  <c r="E3" i="17"/>
  <c r="C3" i="17" s="1"/>
  <c r="S103" i="17"/>
  <c r="R103" i="17"/>
  <c r="V103" i="17"/>
  <c r="Q103" i="17"/>
  <c r="Y107" i="17"/>
  <c r="L82" i="1"/>
  <c r="L84" i="1"/>
  <c r="L83" i="1"/>
  <c r="L70" i="1"/>
  <c r="L71" i="1"/>
  <c r="L72" i="1"/>
  <c r="D70" i="1"/>
  <c r="D71" i="1"/>
  <c r="D85" i="1"/>
  <c r="D84" i="1"/>
  <c r="D83" i="1"/>
  <c r="D82" i="1"/>
  <c r="L60" i="1"/>
  <c r="L59" i="1"/>
  <c r="L58" i="1"/>
  <c r="D61" i="1"/>
  <c r="D60" i="1"/>
  <c r="D59" i="1"/>
  <c r="D58" i="1"/>
  <c r="D95" i="1"/>
  <c r="L95" i="1"/>
  <c r="L96" i="1"/>
  <c r="D94" i="1"/>
  <c r="D96" i="1"/>
  <c r="D97" i="1"/>
  <c r="L94" i="1"/>
  <c r="D73" i="1"/>
  <c r="D72" i="1"/>
  <c r="L48" i="1"/>
  <c r="D48" i="1"/>
  <c r="D47" i="1"/>
  <c r="L47" i="1"/>
  <c r="D46" i="1"/>
  <c r="L46" i="1"/>
  <c r="D49" i="1"/>
  <c r="J31" i="2"/>
  <c r="E31" i="2" s="1"/>
  <c r="F8" i="15"/>
  <c r="E8" i="15"/>
  <c r="D8" i="15"/>
  <c r="G8" i="15"/>
  <c r="K8" i="15"/>
  <c r="C8" i="15"/>
  <c r="J8" i="15"/>
  <c r="I8" i="15"/>
  <c r="H8" i="15"/>
  <c r="C3" i="14"/>
  <c r="W116" i="15"/>
  <c r="O116" i="15"/>
  <c r="V116" i="15"/>
  <c r="U116" i="15"/>
  <c r="T116" i="15"/>
  <c r="S116" i="15"/>
  <c r="P116" i="15"/>
  <c r="R116" i="15"/>
  <c r="Q116" i="15"/>
  <c r="V29" i="1"/>
  <c r="Q63" i="15"/>
  <c r="P59" i="15"/>
  <c r="Q59" i="15"/>
  <c r="O59" i="15"/>
  <c r="J40" i="2"/>
  <c r="E40" i="2" s="1"/>
  <c r="J24" i="2"/>
  <c r="E24" i="2" s="1"/>
  <c r="D104" i="1" s="1"/>
  <c r="L106" i="1" s="1"/>
  <c r="E26" i="2"/>
  <c r="J62" i="2"/>
  <c r="E62" i="2" s="1"/>
  <c r="J27" i="2"/>
  <c r="E27" i="2" s="1"/>
  <c r="Y88" i="17"/>
  <c r="W88" i="17"/>
  <c r="U88" i="17"/>
  <c r="S88" i="17"/>
  <c r="Q88" i="17"/>
  <c r="L127" i="17"/>
  <c r="J127" i="17"/>
  <c r="H127" i="17"/>
  <c r="W8" i="15"/>
  <c r="U8" i="15"/>
  <c r="S8" i="15"/>
  <c r="Q8" i="15"/>
  <c r="O8" i="15"/>
  <c r="X88" i="17"/>
  <c r="V88" i="17"/>
  <c r="T88" i="17"/>
  <c r="R88" i="17"/>
  <c r="M127" i="17"/>
  <c r="K127" i="17"/>
  <c r="I127" i="17"/>
  <c r="G127" i="17"/>
  <c r="V8" i="15"/>
  <c r="T8" i="15"/>
  <c r="R8" i="15"/>
  <c r="P8" i="15"/>
  <c r="X72" i="17"/>
  <c r="V72" i="17"/>
  <c r="T72" i="17"/>
  <c r="R72" i="17"/>
  <c r="Y68" i="17"/>
  <c r="W68" i="17"/>
  <c r="U68" i="17"/>
  <c r="S68" i="17"/>
  <c r="Q68" i="17"/>
  <c r="X54" i="17"/>
  <c r="V54" i="17"/>
  <c r="T54" i="17"/>
  <c r="R54" i="17"/>
  <c r="C11" i="17"/>
  <c r="Y72" i="17"/>
  <c r="W72" i="17"/>
  <c r="U72" i="17"/>
  <c r="S72" i="17"/>
  <c r="Q72" i="17"/>
  <c r="X68" i="17"/>
  <c r="V68" i="17"/>
  <c r="T68" i="17"/>
  <c r="R68" i="17"/>
  <c r="Y54" i="17"/>
  <c r="W54" i="17"/>
  <c r="U54" i="17"/>
  <c r="S54" i="17"/>
  <c r="Q54" i="17"/>
  <c r="Q64" i="15"/>
  <c r="R59" i="15"/>
  <c r="R64" i="15"/>
  <c r="T63" i="15"/>
  <c r="T59" i="15"/>
  <c r="R63" i="15"/>
  <c r="R33" i="17"/>
  <c r="V33" i="17"/>
  <c r="Q33" i="17"/>
  <c r="U33" i="17"/>
  <c r="Y33" i="17"/>
  <c r="T33" i="17"/>
  <c r="X33" i="17"/>
  <c r="S33" i="17"/>
  <c r="W33" i="17"/>
  <c r="F21" i="1"/>
  <c r="B21" i="1" s="1"/>
  <c r="D33" i="3"/>
  <c r="D39" i="3" s="1"/>
  <c r="E39" i="3"/>
  <c r="X115" i="17"/>
  <c r="T115" i="17"/>
  <c r="X45" i="17"/>
  <c r="Q45" i="17"/>
  <c r="V22" i="17"/>
  <c r="W22" i="17"/>
  <c r="R22" i="17"/>
  <c r="X11" i="17"/>
  <c r="S11" i="17"/>
  <c r="I42" i="17"/>
  <c r="M42" i="17"/>
  <c r="L64" i="17"/>
  <c r="K64" i="17"/>
  <c r="H20" i="17"/>
  <c r="L20" i="17"/>
  <c r="C20" i="17"/>
  <c r="E11" i="17"/>
  <c r="Y115" i="17"/>
  <c r="U115" i="17"/>
  <c r="Q115" i="17"/>
  <c r="S45" i="17"/>
  <c r="S22" i="17"/>
  <c r="W11" i="17"/>
  <c r="R11" i="17"/>
  <c r="Q11" i="17"/>
  <c r="H42" i="17"/>
  <c r="L42" i="17"/>
  <c r="C42" i="17"/>
  <c r="M64" i="17"/>
  <c r="I64" i="17"/>
  <c r="C64" i="17"/>
  <c r="C54" i="17"/>
  <c r="E33" i="17"/>
  <c r="K20" i="17"/>
  <c r="E20" i="17"/>
  <c r="G11" i="17"/>
  <c r="V115" i="17"/>
  <c r="R45" i="17"/>
  <c r="T22" i="17"/>
  <c r="U11" i="17"/>
  <c r="E42" i="17"/>
  <c r="E64" i="17"/>
  <c r="L33" i="17"/>
  <c r="G20" i="17"/>
  <c r="W115" i="17"/>
  <c r="S115" i="17"/>
  <c r="T45" i="17"/>
  <c r="C33" i="17"/>
  <c r="Y22" i="17"/>
  <c r="U22" i="17"/>
  <c r="Q22" i="17"/>
  <c r="Y11" i="17"/>
  <c r="T11" i="17"/>
  <c r="J42" i="17"/>
  <c r="G42" i="17"/>
  <c r="J64" i="17"/>
  <c r="G64" i="17"/>
  <c r="G54" i="17"/>
  <c r="I20" i="17"/>
  <c r="M20" i="17"/>
  <c r="R115" i="17"/>
  <c r="X22" i="17"/>
  <c r="V11" i="17"/>
  <c r="K42" i="17"/>
  <c r="H64" i="17"/>
  <c r="E54" i="17"/>
  <c r="J20" i="17"/>
  <c r="H11" i="17"/>
  <c r="C33" i="3"/>
  <c r="C39" i="3" s="1"/>
  <c r="J16" i="2"/>
  <c r="E16" i="2" s="1"/>
  <c r="J15" i="2"/>
  <c r="E15" i="2" s="1"/>
  <c r="J23" i="2"/>
  <c r="E23" i="2" s="1"/>
  <c r="J41" i="2"/>
  <c r="E41" i="2" s="1"/>
  <c r="J44" i="2"/>
  <c r="E44" i="2" s="1"/>
  <c r="J19" i="2"/>
  <c r="E19" i="2" s="1"/>
  <c r="J36" i="2"/>
  <c r="E36" i="2" s="1"/>
  <c r="J64" i="2"/>
  <c r="E64" i="2" s="1"/>
  <c r="J56" i="2"/>
  <c r="E56" i="2" s="1"/>
  <c r="J11" i="2"/>
  <c r="E11" i="2" s="1"/>
  <c r="J55" i="2"/>
  <c r="E55" i="2" s="1"/>
  <c r="H115" i="1"/>
  <c r="D115" i="1" s="1"/>
  <c r="E3" i="2"/>
  <c r="X3" i="2"/>
  <c r="J14" i="2"/>
  <c r="E14" i="2" s="1"/>
  <c r="J28" i="2"/>
  <c r="J69" i="2"/>
  <c r="J13" i="2"/>
  <c r="AF15" i="1"/>
  <c r="L107" i="1" l="1"/>
  <c r="D106" i="1"/>
  <c r="L108" i="1"/>
  <c r="D109" i="1"/>
  <c r="D107" i="1"/>
  <c r="D108" i="1"/>
  <c r="K11" i="17"/>
  <c r="M11" i="17"/>
  <c r="B40" i="3"/>
  <c r="AE2" i="1" s="1"/>
  <c r="H31" i="1" s="1"/>
  <c r="Q19" i="1"/>
  <c r="V34" i="1" s="1"/>
  <c r="V3" i="2"/>
  <c r="AE5" i="2" s="1"/>
  <c r="D35" i="1" l="1"/>
  <c r="K35" i="1"/>
  <c r="B31" i="1"/>
  <c r="Q5" i="1"/>
  <c r="T9" i="1" s="1"/>
  <c r="N70" i="2"/>
  <c r="E70" i="2" s="1"/>
  <c r="V9" i="1"/>
  <c r="N45" i="2"/>
  <c r="E45" i="2" s="1"/>
  <c r="N10" i="2"/>
  <c r="E10" i="2" s="1"/>
  <c r="N69" i="2"/>
  <c r="E69" i="2" s="1"/>
  <c r="N13" i="2"/>
  <c r="E13" i="2" s="1"/>
  <c r="N25" i="2"/>
  <c r="E25" i="2" s="1"/>
  <c r="N28" i="2"/>
  <c r="T28" i="2" l="1"/>
  <c r="E28" i="2" s="1"/>
  <c r="R9" i="1"/>
</calcChain>
</file>

<file path=xl/sharedStrings.xml><?xml version="1.0" encoding="utf-8"?>
<sst xmlns="http://schemas.openxmlformats.org/spreadsheetml/2006/main" count="7264" uniqueCount="1810">
  <si>
    <t>ABILITY SCORES</t>
  </si>
  <si>
    <t>TOTAL</t>
  </si>
  <si>
    <t>BASE</t>
  </si>
  <si>
    <t xml:space="preserve"> OTHER</t>
  </si>
  <si>
    <t xml:space="preserve">  MOD</t>
  </si>
  <si>
    <t>STR</t>
  </si>
  <si>
    <t>=</t>
  </si>
  <si>
    <t>+</t>
  </si>
  <si>
    <t>STRENGTH</t>
  </si>
  <si>
    <t>DEX</t>
  </si>
  <si>
    <t>DEXTERITY</t>
  </si>
  <si>
    <t>CON</t>
  </si>
  <si>
    <t>CONSTITUTION</t>
  </si>
  <si>
    <t>INT</t>
  </si>
  <si>
    <t>INTELLIGENCE</t>
  </si>
  <si>
    <t>WIS</t>
  </si>
  <si>
    <t>WISDOM</t>
  </si>
  <si>
    <t>CHA</t>
  </si>
  <si>
    <t>CHARISMA</t>
  </si>
  <si>
    <t>RACIAL</t>
  </si>
  <si>
    <t>HD</t>
  </si>
  <si>
    <t>Level HP</t>
  </si>
  <si>
    <t>Level</t>
  </si>
  <si>
    <t>HP from Con:</t>
  </si>
  <si>
    <t>HP from feats:</t>
  </si>
  <si>
    <t>TOTAL HD</t>
  </si>
  <si>
    <t>TOTAL HP</t>
  </si>
  <si>
    <t>SAVING THROWS</t>
  </si>
  <si>
    <t xml:space="preserve">    MISC</t>
  </si>
  <si>
    <t>(CONSTITUTION)</t>
  </si>
  <si>
    <t>(DEXTERITY)</t>
  </si>
  <si>
    <t>WILL</t>
  </si>
  <si>
    <t>(WISDOM)</t>
  </si>
  <si>
    <t>ABILITY</t>
  </si>
  <si>
    <t>FORT</t>
  </si>
  <si>
    <t>REF</t>
  </si>
  <si>
    <t>ARMOR</t>
  </si>
  <si>
    <t>SIZE</t>
  </si>
  <si>
    <t>MISC</t>
  </si>
  <si>
    <t>SPACE</t>
  </si>
  <si>
    <t>SPEED</t>
  </si>
  <si>
    <t>WOUNDS</t>
  </si>
  <si>
    <t>HP LEFT</t>
  </si>
  <si>
    <t>DEFENSE</t>
  </si>
  <si>
    <t>MOVEMENT</t>
  </si>
  <si>
    <t>INITIATIVE</t>
  </si>
  <si>
    <t>×</t>
  </si>
  <si>
    <t>RUN</t>
  </si>
  <si>
    <t>Item:</t>
  </si>
  <si>
    <t>Number:</t>
  </si>
  <si>
    <t>Weight (lb):</t>
  </si>
  <si>
    <t>Total (lb):</t>
  </si>
  <si>
    <t>Weapon set 1:</t>
  </si>
  <si>
    <t>-</t>
  </si>
  <si>
    <t>Weapon set 2:</t>
  </si>
  <si>
    <t>Weapon set 3:</t>
  </si>
  <si>
    <t>Final weight:</t>
  </si>
  <si>
    <t>Light Load (up to)</t>
  </si>
  <si>
    <t>Medium Load (up to)</t>
  </si>
  <si>
    <t>Heavy Load (up to)</t>
  </si>
  <si>
    <t>Character Strength:</t>
  </si>
  <si>
    <t>Character Size:</t>
  </si>
  <si>
    <t>Final Carrying Load:</t>
  </si>
  <si>
    <t>RUN FOR</t>
  </si>
  <si>
    <t>ROUNDS BEFORE NEEDING CONSTITUTION CHECK</t>
  </si>
  <si>
    <t>CHECK PENALTY</t>
  </si>
  <si>
    <t>FEET</t>
  </si>
  <si>
    <t>GENDER</t>
  </si>
  <si>
    <t>AGE</t>
  </si>
  <si>
    <t>HEIGHT</t>
  </si>
  <si>
    <t>WEIGHT</t>
  </si>
  <si>
    <t>ATTACK</t>
  </si>
  <si>
    <t>BAB</t>
  </si>
  <si>
    <t>FEAT</t>
  </si>
  <si>
    <t>OTHER SPECIAL ATTACKS AND COMBAT ABILITIES</t>
  </si>
  <si>
    <t>GRAPPLE</t>
  </si>
  <si>
    <t>STR MOD</t>
  </si>
  <si>
    <t>DISARM</t>
  </si>
  <si>
    <t>ATTACK BONUS</t>
  </si>
  <si>
    <t>WEAPON TYPE</t>
  </si>
  <si>
    <t>WEAPON BONUS</t>
  </si>
  <si>
    <t>BULL RUSH</t>
  </si>
  <si>
    <t>CHARGE</t>
  </si>
  <si>
    <t>OVERRUN</t>
  </si>
  <si>
    <t>TRIP</t>
  </si>
  <si>
    <t>CRITICAL</t>
  </si>
  <si>
    <t>NOTES</t>
  </si>
  <si>
    <t>PROVOKES AoO?</t>
  </si>
  <si>
    <t>YES</t>
  </si>
  <si>
    <t>NO</t>
  </si>
  <si>
    <t>Item Description and Notes</t>
  </si>
  <si>
    <t>SKILLS</t>
  </si>
  <si>
    <t>SKILL POINTS PER LEVEL:</t>
  </si>
  <si>
    <t>INT MOD</t>
  </si>
  <si>
    <t>SKILL NAME</t>
  </si>
  <si>
    <t>SKILL MOD</t>
  </si>
  <si>
    <t>ABILITY MOD</t>
  </si>
  <si>
    <t>ITEM BONUS</t>
  </si>
  <si>
    <t>SYNERGY</t>
  </si>
  <si>
    <t>CLASS</t>
  </si>
  <si>
    <t>BALANCE * ♦</t>
  </si>
  <si>
    <t>BLUFF ♦</t>
  </si>
  <si>
    <t>CLIMB * ♦</t>
  </si>
  <si>
    <t>CONCENTRATION ♦</t>
  </si>
  <si>
    <t>DIPLOMACY ♦</t>
  </si>
  <si>
    <t>DISGUISE ♦</t>
  </si>
  <si>
    <t>GATHER INFORMATION ♦</t>
  </si>
  <si>
    <t>HIDE * ♦</t>
  </si>
  <si>
    <t>INTIMIDATE ♦</t>
  </si>
  <si>
    <t>JUMP * ♦</t>
  </si>
  <si>
    <t>LISTEN ♦</t>
  </si>
  <si>
    <t>MOVE SILENTLY * ♦</t>
  </si>
  <si>
    <t>SEARCH ♦</t>
  </si>
  <si>
    <t>SENSE MOTIVE ♦</t>
  </si>
  <si>
    <t>SLEIGHT OF HAND *</t>
  </si>
  <si>
    <t>SPOT ♦</t>
  </si>
  <si>
    <t>SURVIVAL ♦</t>
  </si>
  <si>
    <t>SWIM * ♦</t>
  </si>
  <si>
    <t>KEY ABILITY</t>
  </si>
  <si>
    <t>KNOWLEDGE (HISTORY)</t>
  </si>
  <si>
    <t>PERFORM (ACT) ♦</t>
  </si>
  <si>
    <t>PERFORM (COMEDY) ♦</t>
  </si>
  <si>
    <t>PERFORM (DANCE) ♦</t>
  </si>
  <si>
    <t>PERFORM (KEYBOARD) ♦</t>
  </si>
  <si>
    <t>PERFORM (ORATORY) ♦</t>
  </si>
  <si>
    <t>PERFORM (PERCUSSION) ♦</t>
  </si>
  <si>
    <t>PERFORM (STRING INSTRUMENT) ♦</t>
  </si>
  <si>
    <t>PERFORM (WIND INSTRUMENT) ♦</t>
  </si>
  <si>
    <t>PERFORM (SING) ♦</t>
  </si>
  <si>
    <t>FEATS</t>
  </si>
  <si>
    <t>MISC 1</t>
  </si>
  <si>
    <t>MISC 2</t>
  </si>
  <si>
    <t>Synergy bonus is to act in character</t>
  </si>
  <si>
    <t>Toughness</t>
  </si>
  <si>
    <t>Run</t>
  </si>
  <si>
    <t>HIT POINTS CALCULATION</t>
  </si>
  <si>
    <t>MAXIMUM SKILL POINTS:</t>
  </si>
  <si>
    <t>TOTAL SKILL POINTS:</t>
  </si>
  <si>
    <t>FROM LEVEL</t>
  </si>
  <si>
    <t>FAVORED CLASS</t>
  </si>
  <si>
    <t>VERIFICATION:</t>
  </si>
  <si>
    <t>RACE</t>
  </si>
  <si>
    <t>ADDITIONAL MODIFIERS TO SAVING THROWS</t>
  </si>
  <si>
    <t>CLASS SKILLS MAXIMUM RANKS:</t>
  </si>
  <si>
    <t>CROSS CLASS SKILLS MAXIMUM RANKS:</t>
  </si>
  <si>
    <t>(IF YES PLACE Y)</t>
  </si>
  <si>
    <t>2 SKILL POINTS</t>
  </si>
  <si>
    <t>6 SKILL POINTS</t>
  </si>
  <si>
    <t>4 SKILL POINTS</t>
  </si>
  <si>
    <t>1st lvl class had:</t>
  </si>
  <si>
    <t>BASE SKILL POINTS</t>
  </si>
  <si>
    <t>Nº  of lvls (after 1st) in a class with:</t>
  </si>
  <si>
    <t>SKILL VERIFICATION WITH INT CHANGING PER LEVEL</t>
  </si>
  <si>
    <t>Base SP per level</t>
  </si>
  <si>
    <t>Int mod per level</t>
  </si>
  <si>
    <t>Misc mod per level</t>
  </si>
  <si>
    <t>SP from Feats</t>
  </si>
  <si>
    <t>FINAL CARRYING CAPACITY</t>
  </si>
  <si>
    <t>CARRYING CAPACITY MULTIPLIER</t>
  </si>
  <si>
    <t>Base Carrying Capacity:</t>
  </si>
  <si>
    <t>Force of Personality</t>
  </si>
  <si>
    <t>OTHER ABILITIES</t>
  </si>
  <si>
    <t>LANGUAGES KNOWN</t>
  </si>
  <si>
    <t>OTHER NOTES</t>
  </si>
  <si>
    <t>1-POINT COST RANKS</t>
  </si>
  <si>
    <t>2-POINTS COST RANKS</t>
  </si>
  <si>
    <t>LBS</t>
  </si>
  <si>
    <t>Medium</t>
  </si>
  <si>
    <t>Synergy bonus is only for secret doors and similar compartments</t>
  </si>
  <si>
    <t>x</t>
  </si>
  <si>
    <t>Adept</t>
  </si>
  <si>
    <t>Asari Huntress</t>
  </si>
  <si>
    <t>Engineer</t>
  </si>
  <si>
    <t>Infiltrator</t>
  </si>
  <si>
    <t>Krogan Battlemaster</t>
  </si>
  <si>
    <t>Quarian Machinist</t>
  </si>
  <si>
    <t>Salarian Scientist</t>
  </si>
  <si>
    <t>Sentinel</t>
  </si>
  <si>
    <t>Soldier</t>
  </si>
  <si>
    <t>Turian Agent</t>
  </si>
  <si>
    <t>Vanguard</t>
  </si>
  <si>
    <t>Asari Scientist</t>
  </si>
  <si>
    <t>FINAL HP</t>
  </si>
  <si>
    <t>SHIELDS</t>
  </si>
  <si>
    <t>HACKING</t>
  </si>
  <si>
    <t>ELECTRONICS</t>
  </si>
  <si>
    <t>DECRYPTION</t>
  </si>
  <si>
    <t>DAMPING</t>
  </si>
  <si>
    <t>y</t>
  </si>
  <si>
    <t>COMBAT DRONE</t>
  </si>
  <si>
    <t>Recoil</t>
  </si>
  <si>
    <t>Ammo</t>
  </si>
  <si>
    <t>AGING</t>
  </si>
  <si>
    <t>ITEM MOD</t>
  </si>
  <si>
    <t>DAMAGE REDUCTION</t>
  </si>
  <si>
    <t>NATURAL PLATTING</t>
  </si>
  <si>
    <t>TOTAL PLATTING</t>
  </si>
  <si>
    <t>Improved Platting</t>
  </si>
  <si>
    <t>DAMAGE TO SHIELDS</t>
  </si>
  <si>
    <t>SHIELDS LEFT</t>
  </si>
  <si>
    <t>TOTAL SHIELDS</t>
  </si>
  <si>
    <t>DAMAGE</t>
  </si>
  <si>
    <t>STR Needed</t>
  </si>
  <si>
    <t>WEAPON 1</t>
  </si>
  <si>
    <t>EXTRA SHIELDS</t>
  </si>
  <si>
    <t>KNOWLEDGE (THEOLOGY/PHILOSOPHY)</t>
  </si>
  <si>
    <t>KNOWLEDGE (BEHAVIOR SCIENCES)</t>
  </si>
  <si>
    <t>KNOWLEDGE (BUSINESS)</t>
  </si>
  <si>
    <t>BIOTICS ♦</t>
  </si>
  <si>
    <t>Synergy from Knowledge (business) is only when haggling with merchants</t>
  </si>
  <si>
    <t>FIRST AID ♦</t>
  </si>
  <si>
    <t>GAMBLE ♦</t>
  </si>
  <si>
    <t>INVESTIGATE</t>
  </si>
  <si>
    <t>KNOWLEDGE (ART)</t>
  </si>
  <si>
    <t>KNOWLEDGE (BIOLOGY)</t>
  </si>
  <si>
    <t>KNOWLEDGE (CIVICS)</t>
  </si>
  <si>
    <t>KNOWLEDGE (CURRENT EVENTS)</t>
  </si>
  <si>
    <t>KNOWLEDGE (PHYSICS)</t>
  </si>
  <si>
    <t>KNOWLEDGE (POPULAR CULTURE)</t>
  </si>
  <si>
    <t>KNOWLEDGE (SPACE)</t>
  </si>
  <si>
    <t>KNOWLEDGE (STREETWISE)</t>
  </si>
  <si>
    <t>KNOWLEDGE (TACTICS)</t>
  </si>
  <si>
    <t>KNOWLEDGE (TECHNOLOGY)</t>
  </si>
  <si>
    <t>MEDICINE</t>
  </si>
  <si>
    <t>PILOTING ♦</t>
  </si>
  <si>
    <t>REPAIR ♦</t>
  </si>
  <si>
    <t>RESEARCH (BIOLOGY)</t>
  </si>
  <si>
    <t>RESEARCH (PHYSICS)</t>
  </si>
  <si>
    <t>RESEARCH (QUANTUM PHYSICS)</t>
  </si>
  <si>
    <t>RESEARCH (ENGINEERING)</t>
  </si>
  <si>
    <t>RESEARCH (ELECTRONICS)</t>
  </si>
  <si>
    <t>RESEARCH (GEOLOGY)</t>
  </si>
  <si>
    <r>
      <t xml:space="preserve">If INT mod changes with levels, use the next table  </t>
    </r>
    <r>
      <rPr>
        <sz val="11"/>
        <color theme="1"/>
        <rFont val="Calibri"/>
        <family val="2"/>
      </rPr>
      <t>→</t>
    </r>
  </si>
  <si>
    <t>Synergy bonuses is to follow tracks only</t>
  </si>
  <si>
    <t>Acrobatic</t>
  </si>
  <si>
    <t>Agile</t>
  </si>
  <si>
    <t>Alertness</t>
  </si>
  <si>
    <t>Artist</t>
  </si>
  <si>
    <t>Intimidating Prowess</t>
  </si>
  <si>
    <t>Investigator</t>
  </si>
  <si>
    <t>Negotiator</t>
  </si>
  <si>
    <t>Perfect Liar</t>
  </si>
  <si>
    <t>Persuasive</t>
  </si>
  <si>
    <t>Stealthy</t>
  </si>
  <si>
    <t>Thug</t>
  </si>
  <si>
    <t>BIOTIC POINTS</t>
  </si>
  <si>
    <t>BARRIER</t>
  </si>
  <si>
    <t>Pre-Requisites</t>
  </si>
  <si>
    <t>Selected?</t>
  </si>
  <si>
    <t>Duration (actions)</t>
  </si>
  <si>
    <t>None</t>
  </si>
  <si>
    <t>1 action</t>
  </si>
  <si>
    <t>5 actions</t>
  </si>
  <si>
    <t>2 actions</t>
  </si>
  <si>
    <t>BIOTIC POWERS AND SPECIALIZATIONS</t>
  </si>
  <si>
    <t>ADHESIVE MINE</t>
  </si>
  <si>
    <t>Balance DC</t>
  </si>
  <si>
    <t>PLACE yes ON THE SPECIALIZATIONS YOU POSSESS</t>
  </si>
  <si>
    <t>AI HACKING</t>
  </si>
  <si>
    <t>PARAGON POINTS</t>
  </si>
  <si>
    <t>RENEGADE POINTS</t>
  </si>
  <si>
    <t>CLASS SKILLS?</t>
  </si>
  <si>
    <t>P</t>
  </si>
  <si>
    <t>R</t>
  </si>
  <si>
    <t>DISRUPTOR</t>
  </si>
  <si>
    <t>ENERGY DRAIN</t>
  </si>
  <si>
    <t>INCINERATE</t>
  </si>
  <si>
    <t>HEAVY WEAPONS</t>
  </si>
  <si>
    <t>REGENERATION</t>
  </si>
  <si>
    <t>WEAPON 2</t>
  </si>
  <si>
    <t>WEAPON 3</t>
  </si>
  <si>
    <t>WEAPON 4</t>
  </si>
  <si>
    <t>WEAPON 5</t>
  </si>
  <si>
    <t>Place the number of times you have selected the feat</t>
  </si>
  <si>
    <t>Able Learner</t>
  </si>
  <si>
    <t>Ammo Proficiency</t>
  </si>
  <si>
    <t>(chemical)</t>
  </si>
  <si>
    <t>(disruptor)</t>
  </si>
  <si>
    <t>(cryo)</t>
  </si>
  <si>
    <t>(incendiary)</t>
  </si>
  <si>
    <t>(shredder)</t>
  </si>
  <si>
    <t>(warp)</t>
  </si>
  <si>
    <t>Armor Proficiency</t>
  </si>
  <si>
    <t>(light)</t>
  </si>
  <si>
    <t>(medium)</t>
  </si>
  <si>
    <t>(heavy)</t>
  </si>
  <si>
    <t>Biotic Focus</t>
  </si>
  <si>
    <t>Close Contact Shooting</t>
  </si>
  <si>
    <t>Dodge</t>
  </si>
  <si>
    <t>Educated</t>
  </si>
  <si>
    <t>Endurance</t>
  </si>
  <si>
    <t>Extra Biotics</t>
  </si>
  <si>
    <t>Extra Biotic Training</t>
  </si>
  <si>
    <t>Extra Techs</t>
  </si>
  <si>
    <t>Extra Tech Training</t>
  </si>
  <si>
    <t>Fast Stabilization</t>
  </si>
  <si>
    <t>Fleet</t>
  </si>
  <si>
    <t>Greater Fortitude</t>
  </si>
  <si>
    <t>Heavy Arm</t>
  </si>
  <si>
    <t>Improved Critical</t>
  </si>
  <si>
    <t>Improved Initiative</t>
  </si>
  <si>
    <t>DEX AND FEATS</t>
  </si>
  <si>
    <t>Improved Regeneration</t>
  </si>
  <si>
    <t>Iron Will</t>
  </si>
  <si>
    <t>Jack of all Trades</t>
  </si>
  <si>
    <t>Lightning Reflexes</t>
  </si>
  <si>
    <t>Nimble Moves</t>
  </si>
  <si>
    <t>Open Minded</t>
  </si>
  <si>
    <t>Resist Disease</t>
  </si>
  <si>
    <t>Resist Poison</t>
  </si>
  <si>
    <t>Quick Draw</t>
  </si>
  <si>
    <t>Quick Reconnoiter</t>
  </si>
  <si>
    <t>Quick Reload</t>
  </si>
  <si>
    <t>Simple Biotic Training</t>
  </si>
  <si>
    <t>Simple Tech Training</t>
  </si>
  <si>
    <t>Skilled</t>
  </si>
  <si>
    <t>Skill Focus</t>
  </si>
  <si>
    <t>KNOWLEDGE (art)</t>
  </si>
  <si>
    <t>BALANCE</t>
  </si>
  <si>
    <t>BIOTICS</t>
  </si>
  <si>
    <t>JUMP</t>
  </si>
  <si>
    <t>INTIMIDATE</t>
  </si>
  <si>
    <t>HIDE</t>
  </si>
  <si>
    <t>GATHER INFORMATION</t>
  </si>
  <si>
    <t>GAMBLE</t>
  </si>
  <si>
    <t>FIRST AID</t>
  </si>
  <si>
    <t>DISGUISE</t>
  </si>
  <si>
    <t>DIPLOMACY</t>
  </si>
  <si>
    <t>CONCENTRATION</t>
  </si>
  <si>
    <t>CLIMB</t>
  </si>
  <si>
    <t>BLUFF</t>
  </si>
  <si>
    <t>LISTEN</t>
  </si>
  <si>
    <t>MOVE SILENTLY</t>
  </si>
  <si>
    <t>PILOTING</t>
  </si>
  <si>
    <t>REPAIR</t>
  </si>
  <si>
    <t>SENSE MOTIVE</t>
  </si>
  <si>
    <t>SLEIGHT OF HAND</t>
  </si>
  <si>
    <t>SEARCH</t>
  </si>
  <si>
    <t>SURVIVAL</t>
  </si>
  <si>
    <t>SPOT</t>
  </si>
  <si>
    <t>SWIM</t>
  </si>
  <si>
    <t>KNOWLEDGE (biology)</t>
  </si>
  <si>
    <t>KNOWLEDGE (business)</t>
  </si>
  <si>
    <t>KNOWLEDGE (civics)</t>
  </si>
  <si>
    <t>KNOWLEDGE (current events)</t>
  </si>
  <si>
    <t>KNOWLEDGE (history)</t>
  </si>
  <si>
    <t>KNOWLEDGE (physics)</t>
  </si>
  <si>
    <t>KNOWLEDGE (space)</t>
  </si>
  <si>
    <t>KNOWLEDGE (streetwise)</t>
  </si>
  <si>
    <t>KNOWLEDGE (tactics)</t>
  </si>
  <si>
    <t>KNOWLEDGE (technology)</t>
  </si>
  <si>
    <t>PERFORM (act)</t>
  </si>
  <si>
    <t>PERFORM (comedy)</t>
  </si>
  <si>
    <t>PERFORM (dance)</t>
  </si>
  <si>
    <t>PERFORM (keyboard)</t>
  </si>
  <si>
    <t>PERFORM (oratory)</t>
  </si>
  <si>
    <t>PERFORM (percussion)</t>
  </si>
  <si>
    <t>PERFORM (string instrument)</t>
  </si>
  <si>
    <t>PERFORM (wind instrument)</t>
  </si>
  <si>
    <t>PERFORM (sing)</t>
  </si>
  <si>
    <t>RESEARCH (biology)</t>
  </si>
  <si>
    <t>RESEARCH (physics)</t>
  </si>
  <si>
    <t>RESEARCH (chimestry)</t>
  </si>
  <si>
    <t>RESEARCH (quantum physics)</t>
  </si>
  <si>
    <t>RESEARCH (engineering)</t>
  </si>
  <si>
    <t>RESEARCH (electronics)</t>
  </si>
  <si>
    <t>RESEARCH (geology)</t>
  </si>
  <si>
    <t>KNOWLEDGE (behavior sci.)</t>
  </si>
  <si>
    <t>KNOWLEDGE (theo/phi)</t>
  </si>
  <si>
    <t>KNOWLEDGE (pop. culture)</t>
  </si>
  <si>
    <t>Sneak Attack</t>
  </si>
  <si>
    <t>Tech Focus</t>
  </si>
  <si>
    <t>Track</t>
  </si>
  <si>
    <t>Two-Weapon Wielding</t>
  </si>
  <si>
    <t>Weapon Proficiency</t>
  </si>
  <si>
    <t>(pistol)</t>
  </si>
  <si>
    <t>(sub-machine gun)</t>
  </si>
  <si>
    <t>(shotgun)</t>
  </si>
  <si>
    <t>(assault rifle)</t>
  </si>
  <si>
    <t>(sniper rifle)</t>
  </si>
  <si>
    <t>Weapon Focus</t>
  </si>
  <si>
    <t>EXTRA HP</t>
  </si>
  <si>
    <t>REMEMBER FEATURES THAT ALTER DC</t>
  </si>
  <si>
    <t>FEAT AND RACE</t>
  </si>
  <si>
    <t>DODGE</t>
  </si>
  <si>
    <t>SHIELD</t>
  </si>
  <si>
    <t>TUMBLE *</t>
  </si>
  <si>
    <t>Ammo Focus</t>
  </si>
  <si>
    <t xml:space="preserve">      Advanced Ammo Focus</t>
  </si>
  <si>
    <t>Athletic</t>
  </si>
  <si>
    <t>Attentive</t>
  </si>
  <si>
    <t xml:space="preserve">   Improved Close Contact Shoot.</t>
  </si>
  <si>
    <t xml:space="preserve">   Ranged Attack of Opportunity</t>
  </si>
  <si>
    <t xml:space="preserve">   Improved Combat Expertise</t>
  </si>
  <si>
    <t xml:space="preserve">   Improved Biotic Focus</t>
  </si>
  <si>
    <t xml:space="preserve">      Advanced Biotic Focus</t>
  </si>
  <si>
    <t>Combat Focus</t>
  </si>
  <si>
    <t xml:space="preserve">   Improved Combat Focus</t>
  </si>
  <si>
    <t xml:space="preserve">      Advanced Combat Focus</t>
  </si>
  <si>
    <t xml:space="preserve">   Mobility</t>
  </si>
  <si>
    <t xml:space="preserve">   Improved Ammo Focus</t>
  </si>
  <si>
    <t xml:space="preserve">      Shot on the Run</t>
  </si>
  <si>
    <t xml:space="preserve">      Spring Attack</t>
  </si>
  <si>
    <t>Deceptive</t>
  </si>
  <si>
    <t xml:space="preserve">   Diehard</t>
  </si>
  <si>
    <t>Medical Practitioner</t>
  </si>
  <si>
    <t xml:space="preserve">   Acrobatic Steps</t>
  </si>
  <si>
    <t>Point Blank Shot</t>
  </si>
  <si>
    <t xml:space="preserve">   Far Shot</t>
  </si>
  <si>
    <t xml:space="preserve">   Precise Shooting</t>
  </si>
  <si>
    <t xml:space="preserve">      Improved Precise Shooting</t>
  </si>
  <si>
    <t xml:space="preserve">   Instant Reload</t>
  </si>
  <si>
    <t>TUMBLE</t>
  </si>
  <si>
    <t xml:space="preserve">   Improved Sneak Attack</t>
  </si>
  <si>
    <t xml:space="preserve">   Improved Tech Focus</t>
  </si>
  <si>
    <t xml:space="preserve">      Advanced Tech Focus</t>
  </si>
  <si>
    <t xml:space="preserve">   Improved Toughness</t>
  </si>
  <si>
    <t xml:space="preserve">   Improved T-W Wielding</t>
  </si>
  <si>
    <t xml:space="preserve">      Advanced T-W Wielding</t>
  </si>
  <si>
    <t xml:space="preserve">   Improved Weapon Focus</t>
  </si>
  <si>
    <t>RoF type</t>
  </si>
  <si>
    <t>RoF shots</t>
  </si>
  <si>
    <t>Asari Pure Biotic</t>
  </si>
  <si>
    <t>BONUS/PENALTIES</t>
  </si>
  <si>
    <t>Low STR</t>
  </si>
  <si>
    <t>RECOIL REDUCTION</t>
  </si>
  <si>
    <t>ONE-SHOT</t>
  </si>
  <si>
    <t>DOUBLE-TAP</t>
  </si>
  <si>
    <t>AUTO-FIRE 1st action</t>
  </si>
  <si>
    <t>AUTO-FIRE 2nd action</t>
  </si>
  <si>
    <t>FULL-AUTO FIRE 1st action</t>
  </si>
  <si>
    <t>FULL-AUTO FIRE 2nd action</t>
  </si>
  <si>
    <t>FULL-AUTO FIRE 3rd action</t>
  </si>
  <si>
    <t>ATK MODIFIER</t>
  </si>
  <si>
    <t>Burst</t>
  </si>
  <si>
    <t>COMBAT POWERS AND SPECIALIZATIONS</t>
  </si>
  <si>
    <t>Times per encounter</t>
  </si>
  <si>
    <t>Rank 1</t>
  </si>
  <si>
    <t>Rank 3</t>
  </si>
  <si>
    <t>Rank 2</t>
  </si>
  <si>
    <t>Rank 4</t>
  </si>
  <si>
    <t>Rank 5</t>
  </si>
  <si>
    <t>Rank 6</t>
  </si>
  <si>
    <t>ADRENALINE RUSH</t>
  </si>
  <si>
    <t>Hardening</t>
  </si>
  <si>
    <t>Time Dilation</t>
  </si>
  <si>
    <t>Duration</t>
  </si>
  <si>
    <t>Ignore Pain</t>
  </si>
  <si>
    <t>Greater Rush</t>
  </si>
  <si>
    <t>Cooldown (actions)</t>
  </si>
  <si>
    <t>+1</t>
  </si>
  <si>
    <t>Sp</t>
  </si>
  <si>
    <t>Bonus provided</t>
  </si>
  <si>
    <t>Recharge Speed</t>
  </si>
  <si>
    <t>Stability</t>
  </si>
  <si>
    <t>Precision</t>
  </si>
  <si>
    <t>Deadly</t>
  </si>
  <si>
    <t>Accuracy</t>
  </si>
  <si>
    <t>Crit. Threat bonus</t>
  </si>
  <si>
    <t>-1</t>
  </si>
  <si>
    <t>REMEMBER FEATURES THAT ALTER THE DC</t>
  </si>
  <si>
    <t>BULLET RAIN</t>
  </si>
  <si>
    <t>CARNAGE</t>
  </si>
  <si>
    <t>Dmg Dealt</t>
  </si>
  <si>
    <t>Crit</t>
  </si>
  <si>
    <t>Crit+1d6</t>
  </si>
  <si>
    <t>Radius</t>
  </si>
  <si>
    <t>Damage</t>
  </si>
  <si>
    <t>Incapacitate</t>
  </si>
  <si>
    <t>Armor Damage</t>
  </si>
  <si>
    <t>+1d6</t>
  </si>
  <si>
    <t>Radius (ft)</t>
  </si>
  <si>
    <t>Adjacent</t>
  </si>
  <si>
    <t>+5 ft</t>
  </si>
  <si>
    <t>Fort Save DC</t>
  </si>
  <si>
    <t>3d6</t>
  </si>
  <si>
    <t>Flight Distance (ft)</t>
  </si>
  <si>
    <t>4d6</t>
  </si>
  <si>
    <t>Maximum Grenades</t>
  </si>
  <si>
    <t>Damage Combo</t>
  </si>
  <si>
    <t>Damage &amp; Force</t>
  </si>
  <si>
    <t>Stronger Lift</t>
  </si>
  <si>
    <t>+5</t>
  </si>
  <si>
    <t>CLUSTER GRENADE</t>
  </si>
  <si>
    <t>CONCUSSIVE SHOT</t>
  </si>
  <si>
    <t>Force</t>
  </si>
  <si>
    <t>Shatter</t>
  </si>
  <si>
    <t>Amplification</t>
  </si>
  <si>
    <t>Devastating</t>
  </si>
  <si>
    <t>Damage/Distance (ft)</t>
  </si>
  <si>
    <t>1d6 / 5</t>
  </si>
  <si>
    <t>1d6 / 10</t>
  </si>
  <si>
    <t>+1d6 / +5</t>
  </si>
  <si>
    <t>+2d6 / +10</t>
  </si>
  <si>
    <t>FORTIFICATION</t>
  </si>
  <si>
    <t>DR bonus</t>
  </si>
  <si>
    <t>Melee Damage Bonus</t>
  </si>
  <si>
    <t>Cooldown Increase</t>
  </si>
  <si>
    <t>Speed Reduction</t>
  </si>
  <si>
    <t>-10 ft</t>
  </si>
  <si>
    <t>+2d6</t>
  </si>
  <si>
    <t>Durability</t>
  </si>
  <si>
    <t>Melee Damage</t>
  </si>
  <si>
    <t>Shield Recharge</t>
  </si>
  <si>
    <t>Power Synergy</t>
  </si>
  <si>
    <t>Lighter Currents</t>
  </si>
  <si>
    <t>-1 action</t>
  </si>
  <si>
    <t>+1 action</t>
  </si>
  <si>
    <t>INFERNO GRENADE</t>
  </si>
  <si>
    <t>1d6</t>
  </si>
  <si>
    <t>2d6</t>
  </si>
  <si>
    <t>Improved Damage</t>
  </si>
  <si>
    <t>Radius &amp; Duration</t>
  </si>
  <si>
    <t>Slam</t>
  </si>
  <si>
    <t>MARKSMAN</t>
  </si>
  <si>
    <t>RoF increase (actions)</t>
  </si>
  <si>
    <t>Atk bonus</t>
  </si>
  <si>
    <t>+2</t>
  </si>
  <si>
    <t>Headshots</t>
  </si>
  <si>
    <t>Gunslinger</t>
  </si>
  <si>
    <t>Firing Rate</t>
  </si>
  <si>
    <t>OVERKILL</t>
  </si>
  <si>
    <t>5d6</t>
  </si>
  <si>
    <t>Bleed</t>
  </si>
  <si>
    <t>Armor-Piercing</t>
  </si>
  <si>
    <t>Shield Overload</t>
  </si>
  <si>
    <t>Active Duration</t>
  </si>
  <si>
    <t>Proximity Trap</t>
  </si>
  <si>
    <t>6d6</t>
  </si>
  <si>
    <t>5</t>
  </si>
  <si>
    <t>STICKY GRENADE</t>
  </si>
  <si>
    <t>ARMOR-PIERCING AMMO</t>
  </si>
  <si>
    <t>(armor-piercing)</t>
  </si>
  <si>
    <t>Bonus Damage</t>
  </si>
  <si>
    <t>Damage Penalty</t>
  </si>
  <si>
    <t>-2</t>
  </si>
  <si>
    <t>Squad Bonus</t>
  </si>
  <si>
    <t>Pierce</t>
  </si>
  <si>
    <t>Damage Synergy</t>
  </si>
  <si>
    <t>Thickness (ft)</t>
  </si>
  <si>
    <t>1d3</t>
  </si>
  <si>
    <t>1d4</t>
  </si>
  <si>
    <t>Acidic</t>
  </si>
  <si>
    <t>Chemical Burn</t>
  </si>
  <si>
    <t>Chance (%)</t>
  </si>
  <si>
    <t>Speed Reduction (ft)</t>
  </si>
  <si>
    <t>Chance</t>
  </si>
  <si>
    <t>+10</t>
  </si>
  <si>
    <t>Freeze Chance</t>
  </si>
  <si>
    <t>CRYO AMMO</t>
  </si>
  <si>
    <t>CHEMICAL AMMO</t>
  </si>
  <si>
    <t>DISRUPTOR AMMO</t>
  </si>
  <si>
    <t>Damage Bonus</t>
  </si>
  <si>
    <t>Stun Duration (actions)</t>
  </si>
  <si>
    <t>Save DC bonus</t>
  </si>
  <si>
    <t>Stun</t>
  </si>
  <si>
    <t>Improved Stun</t>
  </si>
  <si>
    <t>INCENDIARY AMMO</t>
  </si>
  <si>
    <t>Flaming</t>
  </si>
  <si>
    <t>Explosive Burst</t>
  </si>
  <si>
    <t>SHREDDER AMMO</t>
  </si>
  <si>
    <t>Shrapnel</t>
  </si>
  <si>
    <t>Meat Grinder</t>
  </si>
  <si>
    <t>Grinding Shrapnel</t>
  </si>
  <si>
    <t>Critical Hits Bonus</t>
  </si>
  <si>
    <t>T. Rang. +1</t>
  </si>
  <si>
    <t>+5 to conf.</t>
  </si>
  <si>
    <t>Multi. +1</t>
  </si>
  <si>
    <t>WARP AMMO</t>
  </si>
  <si>
    <t>Damage vs flying</t>
  </si>
  <si>
    <r>
      <t xml:space="preserve">Damage vs </t>
    </r>
    <r>
      <rPr>
        <i/>
        <sz val="11"/>
        <color theme="1"/>
        <rFont val="Times New Roman"/>
        <family val="1"/>
      </rPr>
      <t>Barrier</t>
    </r>
  </si>
  <si>
    <t>Detonation</t>
  </si>
  <si>
    <t>Damage Reduction</t>
  </si>
  <si>
    <t>Deton. Damage</t>
  </si>
  <si>
    <t>Deton. Radius (ft)</t>
  </si>
  <si>
    <t>Blast Effect</t>
  </si>
  <si>
    <t>I. Barrier Strength</t>
  </si>
  <si>
    <t>Powered Blast</t>
  </si>
  <si>
    <t>Lighter Barrier</t>
  </si>
  <si>
    <t>Speed Penalty (ft)</t>
  </si>
  <si>
    <t>G. Barrier Strength</t>
  </si>
  <si>
    <t>Cost/Maint. (points)</t>
  </si>
  <si>
    <t>Cost (points)</t>
  </si>
  <si>
    <t>Range (ft)</t>
  </si>
  <si>
    <t>Fly Distance (ft)</t>
  </si>
  <si>
    <t>Shield HP Restored</t>
  </si>
  <si>
    <t>Improved Charge</t>
  </si>
  <si>
    <t>Greater Charge</t>
  </si>
  <si>
    <t>Quick Recharge</t>
  </si>
  <si>
    <t>Increased Shields</t>
  </si>
  <si>
    <t>BIOTIC CHARGE</t>
  </si>
  <si>
    <t>Varies</t>
  </si>
  <si>
    <t>Max Skill bonus</t>
  </si>
  <si>
    <t>1 or 2</t>
  </si>
  <si>
    <t>1, 2 or 3</t>
  </si>
  <si>
    <t>Invisible Field</t>
  </si>
  <si>
    <t>Smoothing Field</t>
  </si>
  <si>
    <t>Agility Synergy</t>
  </si>
  <si>
    <t>Strength Synergy</t>
  </si>
  <si>
    <t>Agility Power</t>
  </si>
  <si>
    <t>Strength Power</t>
  </si>
  <si>
    <t>BIOTIC KINESIS</t>
  </si>
  <si>
    <t>Max Weight (lbs)</t>
  </si>
  <si>
    <t>BIOTIC ENHANCEMENT</t>
  </si>
  <si>
    <t>Object Throw</t>
  </si>
  <si>
    <t>Improved Kinesis</t>
  </si>
  <si>
    <t>Movement Synergy</t>
  </si>
  <si>
    <t>Faster Kinesis</t>
  </si>
  <si>
    <r>
      <t>Throw</t>
    </r>
    <r>
      <rPr>
        <sz val="11"/>
        <color theme="1"/>
        <rFont val="Times New Roman"/>
        <family val="1"/>
      </rPr>
      <t xml:space="preserve"> Distance (ft)</t>
    </r>
  </si>
  <si>
    <t>Powerful Nova</t>
  </si>
  <si>
    <t>Improved Radius</t>
  </si>
  <si>
    <t>Fast Recharge</t>
  </si>
  <si>
    <t>Half Blast</t>
  </si>
  <si>
    <t>Sustain Shields</t>
  </si>
  <si>
    <t>Extra 0</t>
  </si>
  <si>
    <t>Extra 5</t>
  </si>
  <si>
    <t>Extra 10</t>
  </si>
  <si>
    <t>BIOTIC NOVA</t>
  </si>
  <si>
    <t>BIOTIC SHIELD DOME</t>
  </si>
  <si>
    <t>Defense</t>
  </si>
  <si>
    <t>Dome HP</t>
  </si>
  <si>
    <t>Solid Dome</t>
  </si>
  <si>
    <t>Lighter Dome</t>
  </si>
  <si>
    <t>I. Dome Strength</t>
  </si>
  <si>
    <t>G. Dome Strength</t>
  </si>
  <si>
    <t>Dome Nova</t>
  </si>
  <si>
    <t>Atttack Bonus</t>
  </si>
  <si>
    <t>Throwing Strike</t>
  </si>
  <si>
    <t>Accurate Strike</t>
  </si>
  <si>
    <t>Stronger Blast</t>
  </si>
  <si>
    <t>DOMINATE</t>
  </si>
  <si>
    <t>BIOTIC STRIKE</t>
  </si>
  <si>
    <t>Lingering Dominate</t>
  </si>
  <si>
    <t>Subtle Control</t>
  </si>
  <si>
    <t>Improved Duration</t>
  </si>
  <si>
    <t>Group Dominate</t>
  </si>
  <si>
    <t>Nightmare</t>
  </si>
  <si>
    <t>Indocrination</t>
  </si>
  <si>
    <t>Horizontal Distance (ft)</t>
  </si>
  <si>
    <t>Falling Distance (ft)</t>
  </si>
  <si>
    <t>Improved Levitate</t>
  </si>
  <si>
    <t>Glide</t>
  </si>
  <si>
    <t>+15</t>
  </si>
  <si>
    <t>Comet</t>
  </si>
  <si>
    <t>Comet Nova</t>
  </si>
  <si>
    <t>LEVITATE</t>
  </si>
  <si>
    <t>PULL</t>
  </si>
  <si>
    <t>Lift Damage</t>
  </si>
  <si>
    <t>Expose</t>
  </si>
  <si>
    <t>Double Pull</t>
  </si>
  <si>
    <t>Faster Recharge</t>
  </si>
  <si>
    <t>REAVE</t>
  </si>
  <si>
    <t>Shields &amp; Plating</t>
  </si>
  <si>
    <t>SHOCKWAVE</t>
  </si>
  <si>
    <t>3d8</t>
  </si>
  <si>
    <t>4d8</t>
  </si>
  <si>
    <t>Empow. Explosions</t>
  </si>
  <si>
    <t>Extended Explosions</t>
  </si>
  <si>
    <t>Detonate</t>
  </si>
  <si>
    <t>Reach</t>
  </si>
  <si>
    <t>Lifting Shockwave</t>
  </si>
  <si>
    <t>+1d8</t>
  </si>
  <si>
    <t>+20</t>
  </si>
  <si>
    <t>SLAM</t>
  </si>
  <si>
    <t>Improved Force</t>
  </si>
  <si>
    <t>Recharge</t>
  </si>
  <si>
    <t>Double Slam</t>
  </si>
  <si>
    <t>STASIS</t>
  </si>
  <si>
    <t>Stasis Strength</t>
  </si>
  <si>
    <t>THROW</t>
  </si>
  <si>
    <t>Thrown Distance (ft)</t>
  </si>
  <si>
    <t>Detonate Synergy</t>
  </si>
  <si>
    <t>Greater Throw</t>
  </si>
  <si>
    <t>Empow. Throw</t>
  </si>
  <si>
    <t>Double Throw</t>
  </si>
  <si>
    <t>Weaker ME Field</t>
  </si>
  <si>
    <t>Bubble</t>
  </si>
  <si>
    <t>Detection Radius</t>
  </si>
  <si>
    <t>Smooth Surface</t>
  </si>
  <si>
    <t>Explosive Hack</t>
  </si>
  <si>
    <t>Berserk</t>
  </si>
  <si>
    <t>Will Save DC</t>
  </si>
  <si>
    <t>Drone Defense</t>
  </si>
  <si>
    <t>Drone Shield HP</t>
  </si>
  <si>
    <t>Drone Atk Range (ft)</t>
  </si>
  <si>
    <t>Drone Atk mod</t>
  </si>
  <si>
    <t>Drone Damage</t>
  </si>
  <si>
    <t>Shock</t>
  </si>
  <si>
    <t>Shield &amp; Damage</t>
  </si>
  <si>
    <t>Shield &amp; Attack</t>
  </si>
  <si>
    <t>Rockets</t>
  </si>
  <si>
    <t>Chain Lightning</t>
  </si>
  <si>
    <t>Range</t>
  </si>
  <si>
    <t>Attack Rate</t>
  </si>
  <si>
    <t>Damage &amp; Range</t>
  </si>
  <si>
    <t>DEFENSE DRONE</t>
  </si>
  <si>
    <t>Stronger Disruption</t>
  </si>
  <si>
    <t>Area &amp; Duration</t>
  </si>
  <si>
    <t>Daze Durat. (actions)</t>
  </si>
  <si>
    <t>Shield HP gained (%)</t>
  </si>
  <si>
    <t>Drain</t>
  </si>
  <si>
    <t>Strengthen Shield</t>
  </si>
  <si>
    <t>Burning Damage</t>
  </si>
  <si>
    <t>Freeze Combo</t>
  </si>
  <si>
    <t>Dmg to Plating (%)</t>
  </si>
  <si>
    <t>CRYO BLAST</t>
  </si>
  <si>
    <t>Cryo Explosion</t>
  </si>
  <si>
    <t>Up to 10 ft</t>
  </si>
  <si>
    <t>-5</t>
  </si>
  <si>
    <t>NEURAL SHOCK</t>
  </si>
  <si>
    <t>Lingering Shock</t>
  </si>
  <si>
    <t>Brain Damage</t>
  </si>
  <si>
    <t>OVERLOAD</t>
  </si>
  <si>
    <t>Chain Overload</t>
  </si>
  <si>
    <t>Mind Shock</t>
  </si>
  <si>
    <t>Stunning Synergy</t>
  </si>
  <si>
    <t>Shield Damage</t>
  </si>
  <si>
    <t>Dmg to Shield/Synthe</t>
  </si>
  <si>
    <t>Dmg to Organics</t>
  </si>
  <si>
    <t>1d8</t>
  </si>
  <si>
    <t>PROXIMITY MINE</t>
  </si>
  <si>
    <t>Blast Radius</t>
  </si>
  <si>
    <t>Fast Blast</t>
  </si>
  <si>
    <t>Slow</t>
  </si>
  <si>
    <t>T. Area &amp; Blast Rad.</t>
  </si>
  <si>
    <t>Trigger Radius (ft)</t>
  </si>
  <si>
    <t>Blast Radius (ft)</t>
  </si>
  <si>
    <t>Reflex Save DC</t>
  </si>
  <si>
    <t>+2d8</t>
  </si>
  <si>
    <t>SABOTAGE</t>
  </si>
  <si>
    <t>Full Sabotage</t>
  </si>
  <si>
    <t>SENTRY TURRET</t>
  </si>
  <si>
    <t>Cryo Ammo</t>
  </si>
  <si>
    <t>Flamethrower</t>
  </si>
  <si>
    <t>Turret Defense</t>
  </si>
  <si>
    <t>Turret Shield HP</t>
  </si>
  <si>
    <t>Turret Atk Range (ft)</t>
  </si>
  <si>
    <t>Turret Atk mod</t>
  </si>
  <si>
    <t>Turret Damage</t>
  </si>
  <si>
    <t>2d8</t>
  </si>
  <si>
    <t>-30</t>
  </si>
  <si>
    <t>TACTICAL CLOAK</t>
  </si>
  <si>
    <t>Bonus Power</t>
  </si>
  <si>
    <t>Sniper Damage</t>
  </si>
  <si>
    <t>+1/+1d6</t>
  </si>
  <si>
    <t>1/+1d6</t>
  </si>
  <si>
    <t>TECH ARMOR</t>
  </si>
  <si>
    <t>AMMO POWERS AND SPECIALIZATIONS</t>
  </si>
  <si>
    <t>TECH POWERS AND SPECIALIZATIONS</t>
  </si>
  <si>
    <t>Shield Increase (%)</t>
  </si>
  <si>
    <t>Shield DR gained</t>
  </si>
  <si>
    <t>Cooldown Increase (actions)</t>
  </si>
  <si>
    <t>Explosion Radius (ft)</t>
  </si>
  <si>
    <t>Explosion Damage</t>
  </si>
  <si>
    <t>Damage &amp; Radius</t>
  </si>
  <si>
    <t>Improved Durability</t>
  </si>
  <si>
    <t>Power Recharge</t>
  </si>
  <si>
    <t>Stronger Hologram</t>
  </si>
  <si>
    <t>Weapon set 4:</t>
  </si>
  <si>
    <t>Weapon set 5:</t>
  </si>
  <si>
    <t>Weapon set 6:</t>
  </si>
  <si>
    <t>Armor:</t>
  </si>
  <si>
    <t>LIFT GRENADE</t>
  </si>
  <si>
    <t>WARP</t>
  </si>
  <si>
    <t>SINGULARITY</t>
  </si>
  <si>
    <t>Save DC</t>
  </si>
  <si>
    <t>Expand</t>
  </si>
  <si>
    <t>Blast</t>
  </si>
  <si>
    <t>OTHER EQUIPMENT</t>
  </si>
  <si>
    <t>CREDITS</t>
  </si>
  <si>
    <t>Quadruped Creature?</t>
  </si>
  <si>
    <t>Weight (lbs)</t>
  </si>
  <si>
    <t>TECH POINTS</t>
  </si>
  <si>
    <t>SHRAPNEL GRENADE</t>
  </si>
  <si>
    <t>ASSASSINATION</t>
  </si>
  <si>
    <t>RoF increase</t>
  </si>
  <si>
    <t>Stability Synergy</t>
  </si>
  <si>
    <t>Recoil Reduction</t>
  </si>
  <si>
    <t>RESEARCH (CHEMISTRY)</t>
  </si>
  <si>
    <t>Max Str Increase</t>
  </si>
  <si>
    <t>Max Dex Increase</t>
  </si>
  <si>
    <t>Max Fort Increase</t>
  </si>
  <si>
    <t>Max Ref Increase</t>
  </si>
  <si>
    <t>Max Speed Incr. (ft)</t>
  </si>
  <si>
    <t>Cost/Maintenace (points)</t>
  </si>
  <si>
    <t>Combat Expertise</t>
  </si>
  <si>
    <t>Sp+2</t>
  </si>
  <si>
    <t>Sp+10</t>
  </si>
  <si>
    <t>CARRYING LOAD</t>
  </si>
  <si>
    <t>Geth</t>
  </si>
  <si>
    <t>ADDITIONAL MODIFIER TO SPEED</t>
  </si>
  <si>
    <t>WEAPON NAME</t>
  </si>
  <si>
    <t>WEAPON MODIFICATION 2</t>
  </si>
  <si>
    <t>WEAPON MODIFICATION 1</t>
  </si>
  <si>
    <t>Ammo Clip</t>
  </si>
  <si>
    <t>Pistols</t>
  </si>
  <si>
    <t>1d10</t>
  </si>
  <si>
    <t>1d12</t>
  </si>
  <si>
    <t>M-3 Predator</t>
  </si>
  <si>
    <t>1d5</t>
  </si>
  <si>
    <t>M-77 Paladin</t>
  </si>
  <si>
    <t>2d5</t>
  </si>
  <si>
    <t>Geth Plasma SMG</t>
  </si>
  <si>
    <t>M-4 Shuriken</t>
  </si>
  <si>
    <t>M-9 Tempest</t>
  </si>
  <si>
    <t>M-12 Locust</t>
  </si>
  <si>
    <t>M-25 Hornet</t>
  </si>
  <si>
    <t>N7 Hurricane</t>
  </si>
  <si>
    <t>1d3/1d5/2d5</t>
  </si>
  <si>
    <t>1d4/1d6/2d6</t>
  </si>
  <si>
    <t>Geth Pulse Rifle</t>
  </si>
  <si>
    <t>M-8 Avenger</t>
  </si>
  <si>
    <t>M-15 Vindicator</t>
  </si>
  <si>
    <t>M-96 Mattock</t>
  </si>
  <si>
    <t>N7 Valkyrie</t>
  </si>
  <si>
    <t>1d3/1d5</t>
  </si>
  <si>
    <t>1d4/1d6</t>
  </si>
  <si>
    <t>Phaeston</t>
  </si>
  <si>
    <t>AT-12 Raider</t>
  </si>
  <si>
    <t>3d5</t>
  </si>
  <si>
    <t>Disciple</t>
  </si>
  <si>
    <t>2d3 (+1d3)</t>
  </si>
  <si>
    <t>2d4 (+1d4)</t>
  </si>
  <si>
    <t>Geth Plasma Shotgun</t>
  </si>
  <si>
    <t>3d3/5d3</t>
  </si>
  <si>
    <t>3d4/5d4</t>
  </si>
  <si>
    <t>Graal Spike Thrower</t>
  </si>
  <si>
    <t>1d6/2d6</t>
  </si>
  <si>
    <t>1d8/2d8</t>
  </si>
  <si>
    <t>M-11 Wraith</t>
  </si>
  <si>
    <t>M-22 Eviscerator</t>
  </si>
  <si>
    <t>M-23 Katana</t>
  </si>
  <si>
    <t>M-27 Scimitar</t>
  </si>
  <si>
    <t>M-300 Claymore</t>
  </si>
  <si>
    <t>N7 Crusader</t>
  </si>
  <si>
    <t>2d4</t>
  </si>
  <si>
    <t>N7 Piranha</t>
  </si>
  <si>
    <t>Reegar Carbine</t>
  </si>
  <si>
    <t>Krysae Sniper Rifle</t>
  </si>
  <si>
    <t>M-13 Raptor</t>
  </si>
  <si>
    <t>2d3</t>
  </si>
  <si>
    <t>M-29 Incisor</t>
  </si>
  <si>
    <t>M-90 Indra</t>
  </si>
  <si>
    <t>M-92 Mantis</t>
  </si>
  <si>
    <t>2d10</t>
  </si>
  <si>
    <t>N7 Valiant</t>
  </si>
  <si>
    <t>Light Melee Weapons</t>
  </si>
  <si>
    <t>–</t>
  </si>
  <si>
    <t>Heavy Melee Weapon</t>
  </si>
  <si>
    <t>1d2</t>
  </si>
  <si>
    <t>Bat, pipe or knuckle</t>
  </si>
  <si>
    <t>Chain</t>
  </si>
  <si>
    <t>Acolyte</t>
  </si>
  <si>
    <t>Arc Pistol</t>
  </si>
  <si>
    <t>M-5 Phalanx</t>
  </si>
  <si>
    <t>M-6 Carnifex</t>
  </si>
  <si>
    <t>M-358 Talon</t>
  </si>
  <si>
    <t>N7 Eagle</t>
  </si>
  <si>
    <t>Scorpion</t>
  </si>
  <si>
    <t>Chakram Launcher</t>
  </si>
  <si>
    <t>Collector's Assault Rifle</t>
  </si>
  <si>
    <t>M-37 Falcon</t>
  </si>
  <si>
    <t>M-76 Revenant</t>
  </si>
  <si>
    <t>M-55 Argus</t>
  </si>
  <si>
    <t>M-99 Saber</t>
  </si>
  <si>
    <t>Two-Handed Melee Weapon</t>
  </si>
  <si>
    <t>M-98 Widow</t>
  </si>
  <si>
    <t>M-97 Viper</t>
  </si>
  <si>
    <t>Kishock Harpoon Gun</t>
  </si>
  <si>
    <t>Javelin</t>
  </si>
  <si>
    <t>Black Widow</t>
  </si>
  <si>
    <t>Striker Assault Rifle</t>
  </si>
  <si>
    <t>Particle Rifle</t>
  </si>
  <si>
    <t>N7 Typhoon</t>
  </si>
  <si>
    <t>Variant type</t>
  </si>
  <si>
    <t>II</t>
  </si>
  <si>
    <t>III</t>
  </si>
  <si>
    <t>IV</t>
  </si>
  <si>
    <t>V</t>
  </si>
  <si>
    <t>VI</t>
  </si>
  <si>
    <t>Each additional variant reduces weight by 5% (total -25% weight at variant VI). Do not round the result</t>
  </si>
  <si>
    <t>Submachine Guns</t>
  </si>
  <si>
    <t>Assault Rifles</t>
  </si>
  <si>
    <t>Shotguns</t>
  </si>
  <si>
    <t>Sniper Rifles</t>
  </si>
  <si>
    <t>I</t>
  </si>
  <si>
    <t>Unarmed</t>
  </si>
  <si>
    <t>Omni-Blade</t>
  </si>
  <si>
    <t>Lesser Omni-Shield</t>
  </si>
  <si>
    <t>Phoenix Lash</t>
  </si>
  <si>
    <t>Weapons Name</t>
  </si>
  <si>
    <t>MISC BONUS TO DAMAGE</t>
  </si>
  <si>
    <t>Omni-Shield</t>
  </si>
  <si>
    <t>1d2+1d5</t>
  </si>
  <si>
    <t>1d3+1d6</t>
  </si>
  <si>
    <t>1d3+2d6</t>
  </si>
  <si>
    <t>1d2+2d4</t>
  </si>
  <si>
    <t>1d2+2d6</t>
  </si>
  <si>
    <t>1d2+1d4</t>
  </si>
  <si>
    <t>1d2+3d3</t>
  </si>
  <si>
    <t>1d2+1d6</t>
  </si>
  <si>
    <t>1d3+2d8</t>
  </si>
  <si>
    <t>1d3+3d4</t>
  </si>
  <si>
    <t>1d3+1d8</t>
  </si>
  <si>
    <t>WEIGHT FINAL</t>
  </si>
  <si>
    <t>Enforcer Gauntlet</t>
  </si>
  <si>
    <t>RoF Type</t>
  </si>
  <si>
    <t>Semi-Automatic</t>
  </si>
  <si>
    <t>Single Shot</t>
  </si>
  <si>
    <t>Automatic</t>
  </si>
  <si>
    <t>Ranged Touch</t>
  </si>
  <si>
    <t>RoF Shots</t>
  </si>
  <si>
    <t>Yes</t>
  </si>
  <si>
    <t>Combat Sensor</t>
  </si>
  <si>
    <t>Combat Scanner</t>
  </si>
  <si>
    <t>Pistol Scope I</t>
  </si>
  <si>
    <t>Pistol Scope II</t>
  </si>
  <si>
    <t>Pistol Scope III</t>
  </si>
  <si>
    <t>Pistol Scope IV</t>
  </si>
  <si>
    <t>Pistol Scope V</t>
  </si>
  <si>
    <t>Heat Sink</t>
  </si>
  <si>
    <t>High Caliber Barrel</t>
  </si>
  <si>
    <t>Rail Extention</t>
  </si>
  <si>
    <t>Magazine Upgrade I</t>
  </si>
  <si>
    <t>Magazine Upgrade II</t>
  </si>
  <si>
    <t>Magazine Upgrade III</t>
  </si>
  <si>
    <t>Magazine Upgrade IV</t>
  </si>
  <si>
    <t>Magazine Upgrade V</t>
  </si>
  <si>
    <t>Shrapnel Ammo</t>
  </si>
  <si>
    <t>Burst Enhancement</t>
  </si>
  <si>
    <t>Improved Mass-Effect Field</t>
  </si>
  <si>
    <t>Laser Sight</t>
  </si>
  <si>
    <t>Melee Stunner I</t>
  </si>
  <si>
    <t>Melee Stunner V</t>
  </si>
  <si>
    <t>Melee Stunner IV</t>
  </si>
  <si>
    <t>Melee Stunner III</t>
  </si>
  <si>
    <t>SMG Scope I</t>
  </si>
  <si>
    <t>SMG Scope II</t>
  </si>
  <si>
    <t>SMG Scope III</t>
  </si>
  <si>
    <t>SMG Scope IV</t>
  </si>
  <si>
    <t>SMG Scope V</t>
  </si>
  <si>
    <t>Heat Sink I</t>
  </si>
  <si>
    <t>Heat Sink II</t>
  </si>
  <si>
    <t>Heat Sink III</t>
  </si>
  <si>
    <t>Combat Optics</t>
  </si>
  <si>
    <t>Precision Scope I</t>
  </si>
  <si>
    <t>Precision Scope II</t>
  </si>
  <si>
    <t>Precision Scope III</t>
  </si>
  <si>
    <t>Precision Scope IV</t>
  </si>
  <si>
    <t>Precision Scope V</t>
  </si>
  <si>
    <t>Frictionless Materials</t>
  </si>
  <si>
    <t>Scram Rail</t>
  </si>
  <si>
    <t>Recoil Damper</t>
  </si>
  <si>
    <t>Kinetic Stabilizer</t>
  </si>
  <si>
    <t>Kinetic Coil</t>
  </si>
  <si>
    <t>Shotgun Attachment</t>
  </si>
  <si>
    <t>Grenade Attachment</t>
  </si>
  <si>
    <t>Smart Choke I</t>
  </si>
  <si>
    <t>Smart Choke V</t>
  </si>
  <si>
    <t>Smart Choke II</t>
  </si>
  <si>
    <t>Smart Choke III</t>
  </si>
  <si>
    <t>Smart Choke IV</t>
  </si>
  <si>
    <t>Dart-like Pellet</t>
  </si>
  <si>
    <t>Shields Shredder Mod I</t>
  </si>
  <si>
    <t>Shields Shredder Mod II</t>
  </si>
  <si>
    <t>Shields Shredder Mod III</t>
  </si>
  <si>
    <t>Plating Shredder Mod I</t>
  </si>
  <si>
    <t>Plating Shredder Mod II</t>
  </si>
  <si>
    <t>Plating Shredder Mod III</t>
  </si>
  <si>
    <t>Blade Attachment I</t>
  </si>
  <si>
    <t>Blade Attachment II</t>
  </si>
  <si>
    <t>Blade Attachment III</t>
  </si>
  <si>
    <t>Blade Attachment IV</t>
  </si>
  <si>
    <t>Blade Attachment V</t>
  </si>
  <si>
    <t>Coriolis Effect Calculator</t>
  </si>
  <si>
    <t>Dynamic Effects Calculator</t>
  </si>
  <si>
    <t>Anatomic Scanners</t>
  </si>
  <si>
    <t>Concentration Mod</t>
  </si>
  <si>
    <t>Enhanced Scope I</t>
  </si>
  <si>
    <t>Enhanced Scope II</t>
  </si>
  <si>
    <t>Enhanced Scope III</t>
  </si>
  <si>
    <t>Enhanced Scope IV</t>
  </si>
  <si>
    <t>Enhanced Scope V</t>
  </si>
  <si>
    <t>Temporaty Shields</t>
  </si>
  <si>
    <t>Temporaty Plating</t>
  </si>
  <si>
    <t>Temporaty HP</t>
  </si>
  <si>
    <t>HEAVY WEAPON</t>
  </si>
  <si>
    <t>Heavy Weapons List</t>
  </si>
  <si>
    <t>M-100 Grenade Launcher</t>
  </si>
  <si>
    <t>M-920 Cain</t>
  </si>
  <si>
    <t>M-451 Firestorm</t>
  </si>
  <si>
    <t>Arc Projector</t>
  </si>
  <si>
    <t>M-622 Avalanche</t>
  </si>
  <si>
    <t>M-560 Hydra</t>
  </si>
  <si>
    <t>Collector Particle Beam</t>
  </si>
  <si>
    <t>Geth Spitfire</t>
  </si>
  <si>
    <t>Reaper Blackstar</t>
  </si>
  <si>
    <t>Light Machinegun</t>
  </si>
  <si>
    <t>Heavy Machinegun</t>
  </si>
  <si>
    <t>ML-77 Missile Launcher</t>
  </si>
  <si>
    <t>Ammo Consumption</t>
  </si>
  <si>
    <t>Weight</t>
  </si>
  <si>
    <t>Str Needed</t>
  </si>
  <si>
    <t>4d6 (1/2)</t>
  </si>
  <si>
    <t>20d6</t>
  </si>
  <si>
    <t>30d6</t>
  </si>
  <si>
    <t>4d6 (x2)</t>
  </si>
  <si>
    <t>Death/ 30d6</t>
  </si>
  <si>
    <t>Heavy Weapon Ranks</t>
  </si>
  <si>
    <t>M-490 Blackstorm</t>
  </si>
  <si>
    <t>Blood Pack Punisher</t>
  </si>
  <si>
    <t>Pistol Cranial Trauma System</t>
  </si>
  <si>
    <t>SMG Recoil System I</t>
  </si>
  <si>
    <t>SMG Recoil System II</t>
  </si>
  <si>
    <t>SMG Recoil System III</t>
  </si>
  <si>
    <t>Assault Rifle Omni-Blade I</t>
  </si>
  <si>
    <t>Assault Rifle Omni-Blade II</t>
  </si>
  <si>
    <t>Assault Rifle Omni-Blade III</t>
  </si>
  <si>
    <t>Assault Rifle Omni-Blade IV</t>
  </si>
  <si>
    <t>Assault Rifle Omni-Blade V</t>
  </si>
  <si>
    <t>Adas Anti-Synthetic Rifle</t>
  </si>
  <si>
    <t>EXTRA PLATING</t>
  </si>
  <si>
    <t>DAMAGE TO PLATING</t>
  </si>
  <si>
    <t>PLATING LEFT</t>
  </si>
  <si>
    <t>ARC GRENADE</t>
  </si>
  <si>
    <t>Dmg vs non-Shielded</t>
  </si>
  <si>
    <t>Dmg vs Shields HP</t>
  </si>
  <si>
    <t>Electrical damage</t>
  </si>
  <si>
    <t>5d8 (6d8)</t>
  </si>
  <si>
    <t>BALLISTIC BLADES</t>
  </si>
  <si>
    <t>Spread</t>
  </si>
  <si>
    <t>Attack Range</t>
  </si>
  <si>
    <t>Damage and Bleed</t>
  </si>
  <si>
    <t>Explosive Blades</t>
  </si>
  <si>
    <t>Bleed duration (actions)</t>
  </si>
  <si>
    <t>DR</t>
  </si>
  <si>
    <t>Damage Returned</t>
  </si>
  <si>
    <t>Melee damage bonus</t>
  </si>
  <si>
    <t>+1d3</t>
  </si>
  <si>
    <t>+1d4</t>
  </si>
  <si>
    <t>Damage returned</t>
  </si>
  <si>
    <t>Cooldown increase (actions)</t>
  </si>
  <si>
    <t>FLASHBANG GRENADE</t>
  </si>
  <si>
    <t>Daze duration (actions)</t>
  </si>
  <si>
    <t>Frag Grenade</t>
  </si>
  <si>
    <t>Imp. Flash. Grenade</t>
  </si>
  <si>
    <t>Senses Overload</t>
  </si>
  <si>
    <t>Incapacitate duration (actions)</t>
  </si>
  <si>
    <t>HOMING GRENADE</t>
  </si>
  <si>
    <t>Impact Radius</t>
  </si>
  <si>
    <t>Capacity</t>
  </si>
  <si>
    <t>Fire Damage</t>
  </si>
  <si>
    <t>Split Damage</t>
  </si>
  <si>
    <t>Extra Sp. Attacks</t>
  </si>
  <si>
    <t>A. Martial Artist</t>
  </si>
  <si>
    <t>A. Rank 1 Attacks</t>
  </si>
  <si>
    <t>A. Rank 3 Attacks</t>
  </si>
  <si>
    <t>Stun. Fist per encounter</t>
  </si>
  <si>
    <t>Stun. Fist DC</t>
  </si>
  <si>
    <t>Prec. Strike per encounter</t>
  </si>
  <si>
    <t>Power Strike per encounter</t>
  </si>
  <si>
    <t>Spin. Strike per encounter</t>
  </si>
  <si>
    <t>Imp. Grab per encounter</t>
  </si>
  <si>
    <t>Quick Strike per encounter</t>
  </si>
  <si>
    <t>Knockback per encounter</t>
  </si>
  <si>
    <t>Knockback DC</t>
  </si>
  <si>
    <t>Extend Reach per encounter</t>
  </si>
  <si>
    <t>Greater Bashing</t>
  </si>
  <si>
    <t>Faster Reload</t>
  </si>
  <si>
    <t>PHASE DISRUPTOR</t>
  </si>
  <si>
    <t>MARTIAL ARTIST</t>
  </si>
  <si>
    <t>Knockdown</t>
  </si>
  <si>
    <t>Efficient Blast</t>
  </si>
  <si>
    <t>Plating Damage</t>
  </si>
  <si>
    <t>Shield/Barrier Damage</t>
  </si>
  <si>
    <t>BLADE ARMOR</t>
  </si>
  <si>
    <t>Special</t>
  </si>
  <si>
    <t>Impact Radius (ft)</t>
  </si>
  <si>
    <t>Shields Consumed</t>
  </si>
  <si>
    <t>ANNIHILATION FIELD</t>
  </si>
  <si>
    <t>Damage Taken</t>
  </si>
  <si>
    <t>Movement Speed</t>
  </si>
  <si>
    <t>Field Damage</t>
  </si>
  <si>
    <t>Blast Damage</t>
  </si>
  <si>
    <t>Increased Damage</t>
  </si>
  <si>
    <t>Increased Duration</t>
  </si>
  <si>
    <t>DARK CHANNEL</t>
  </si>
  <si>
    <t>LASH</t>
  </si>
  <si>
    <t>Damage Over Time</t>
  </si>
  <si>
    <t>Shield Penetration</t>
  </si>
  <si>
    <t>Pre-throw damage</t>
  </si>
  <si>
    <t>Throw damage</t>
  </si>
  <si>
    <t>1d6 / 10 ft</t>
  </si>
  <si>
    <t>1d6 / 10 ft + 1d6</t>
  </si>
  <si>
    <t>SMASH</t>
  </si>
  <si>
    <t>Biotic Combo</t>
  </si>
  <si>
    <t>Electrical Damage</t>
  </si>
  <si>
    <t>Force &amp; Damage</t>
  </si>
  <si>
    <t>Affected Area</t>
  </si>
  <si>
    <t>15 ft line</t>
  </si>
  <si>
    <t>15 ft cone</t>
  </si>
  <si>
    <t>Normal</t>
  </si>
  <si>
    <t>Normal + 1d6</t>
  </si>
  <si>
    <t>Movement Imposed (ft)</t>
  </si>
  <si>
    <t>Damage &amp; Duration</t>
  </si>
  <si>
    <t>Biotic</t>
  </si>
  <si>
    <t>Tech</t>
  </si>
  <si>
    <t>Frozen Vulnerability</t>
  </si>
  <si>
    <t>Tech Vulnerability</t>
  </si>
  <si>
    <t>HUNTER MODE</t>
  </si>
  <si>
    <t>Weapon Accuracy</t>
  </si>
  <si>
    <t>Power Damage</t>
  </si>
  <si>
    <t>Rate of Fire</t>
  </si>
  <si>
    <t>Speed &amp; Vision</t>
  </si>
  <si>
    <t>Nightvision (ft)</t>
  </si>
  <si>
    <t>X-Ray vision (ft)</t>
  </si>
  <si>
    <t>Max speed increase (ft)</t>
  </si>
  <si>
    <t>Cooldown reduction</t>
  </si>
  <si>
    <t>Crit. threat range bonus</t>
  </si>
  <si>
    <t>Attack bonus</t>
  </si>
  <si>
    <t>Power damage bonus</t>
  </si>
  <si>
    <t>RoF bonus</t>
  </si>
  <si>
    <t>Crit. multiplier bonus</t>
  </si>
  <si>
    <t>+30</t>
  </si>
  <si>
    <t>SHIELD BLOCK</t>
  </si>
  <si>
    <t>Resilient</t>
  </si>
  <si>
    <t>Unobstructive</t>
  </si>
  <si>
    <t>Advanced Protection</t>
  </si>
  <si>
    <t>Repulsive</t>
  </si>
  <si>
    <t>Regenerative</t>
  </si>
  <si>
    <t>Extended Guard</t>
  </si>
  <si>
    <t>Cost/Maintenance (points)</t>
  </si>
  <si>
    <t>Cover bonus</t>
  </si>
  <si>
    <t>Hand occupied?</t>
  </si>
  <si>
    <t>Knockback distance (ft)</t>
  </si>
  <si>
    <t>No</t>
  </si>
  <si>
    <t>Shield DR bonus</t>
  </si>
  <si>
    <t>SUBMISSION NET</t>
  </si>
  <si>
    <t>Damage and Slow</t>
  </si>
  <si>
    <t>Recharge Time</t>
  </si>
  <si>
    <t>Shield and Barrier</t>
  </si>
  <si>
    <t>Electric Field</t>
  </si>
  <si>
    <t>Fort save DC</t>
  </si>
  <si>
    <t>Reflex save DC</t>
  </si>
  <si>
    <t>Damage if target has Plating</t>
  </si>
  <si>
    <t>Immovable duration (actions)</t>
  </si>
  <si>
    <t>Duration of damage</t>
  </si>
  <si>
    <t>Net's Strength</t>
  </si>
  <si>
    <t>Armor</t>
  </si>
  <si>
    <t>Cost</t>
  </si>
  <si>
    <t>Shields</t>
  </si>
  <si>
    <t>Enhanced Fibers</t>
  </si>
  <si>
    <t>Customizable</t>
  </si>
  <si>
    <t>Light Armor</t>
  </si>
  <si>
    <t>C; A</t>
  </si>
  <si>
    <t>Arms – Carries 2 extra Thermal Clips</t>
  </si>
  <si>
    <t>Arms – +1 bonus to attack rolls</t>
  </si>
  <si>
    <t>25% chance of negating critical hits and sneak attacks</t>
  </si>
  <si>
    <t>Reduces damage from Biotic, Combat and Tech powers by 2</t>
  </si>
  <si>
    <t>V; C; S; A; L</t>
  </si>
  <si>
    <t>V; C; L</t>
  </si>
  <si>
    <t>Phoenix</t>
  </si>
  <si>
    <t>+2 bonus to Repair, Electronics, Damping, Decryption and Hacking checks</t>
  </si>
  <si>
    <t>V; A; L</t>
  </si>
  <si>
    <t>Chest – +1 HP per 2 levels</t>
  </si>
  <si>
    <t>Reduce cooldown of Biotic, Combat and Tech powers by 1 action (minimum of 1 action)</t>
  </si>
  <si>
    <t>Shields regenerate at a rate of 1 point per round</t>
  </si>
  <si>
    <t>Medium Armor</t>
  </si>
  <si>
    <t>Arms – Carries 3 extra Thermal Clips</t>
  </si>
  <si>
    <t>+1 bonus on Charisma-based skills</t>
  </si>
  <si>
    <t>C; A; L</t>
  </si>
  <si>
    <t>Reduces damage from Biotic, Combat and Tech powers by 3</t>
  </si>
  <si>
    <t>Inferno Armor</t>
  </si>
  <si>
    <t>Reduce cooldown of Biotic and Tech powers by 1 action (minimum of 1 action); Biotic, Combat and Tech powers that deal damage deal 1 extra damage</t>
  </si>
  <si>
    <t>50% chance of negating critical hits and sneak attacks</t>
  </si>
  <si>
    <t>V; C; A; L</t>
  </si>
  <si>
    <t>Heavy Armor</t>
  </si>
  <si>
    <t>C; S; A</t>
  </si>
  <si>
    <t>Arms – Carries 4 extra Thermal Clips</t>
  </si>
  <si>
    <t>+2 bonus on Charisma-based skills</t>
  </si>
  <si>
    <t>Arms – +2 bonus to attack rolls</t>
  </si>
  <si>
    <t>V; S; C; L</t>
  </si>
  <si>
    <t>75% chance of negating critical hits and sneak attacks</t>
  </si>
  <si>
    <t>Kestrel</t>
  </si>
  <si>
    <t>Shields regenerate at a rate of 2 points per round</t>
  </si>
  <si>
    <t>General Light Armor</t>
  </si>
  <si>
    <t>Quarian Service Vest</t>
  </si>
  <si>
    <t>General Medium Armor</t>
  </si>
  <si>
    <t>Quarian Battle Armor</t>
  </si>
  <si>
    <t>General Heavy Armor</t>
  </si>
  <si>
    <t>Terminus Assault Armor</t>
  </si>
  <si>
    <t>Cerberus Assault Armor</t>
  </si>
  <si>
    <t>Warlord Armor</t>
  </si>
  <si>
    <t>N7 Defender</t>
  </si>
  <si>
    <t>T5-V Battlesuit</t>
  </si>
  <si>
    <t xml:space="preserve">   Assassin</t>
  </si>
  <si>
    <t>Field Medic</t>
  </si>
  <si>
    <t>Information Broker</t>
  </si>
  <si>
    <t>Scoundrel</t>
  </si>
  <si>
    <t>Bravery</t>
  </si>
  <si>
    <t>Cat Fall</t>
  </si>
  <si>
    <t>Photographic Memory</t>
  </si>
  <si>
    <t>Resources</t>
  </si>
  <si>
    <t>Collector SMG</t>
  </si>
  <si>
    <t>Collector Sniper Rifle</t>
  </si>
  <si>
    <t>Executioner Pistol</t>
  </si>
  <si>
    <t>Venom Shotgun</t>
  </si>
  <si>
    <t>Small</t>
  </si>
  <si>
    <t>Large</t>
  </si>
  <si>
    <t>Huge</t>
  </si>
  <si>
    <t>Gargantuan</t>
  </si>
  <si>
    <t>Colossal</t>
  </si>
  <si>
    <t>Tiny</t>
  </si>
  <si>
    <t>Fine</t>
  </si>
  <si>
    <t>Diminutive</t>
  </si>
  <si>
    <t>Pistol Heavy Barrel</t>
  </si>
  <si>
    <t>High-Velocity Barrel I</t>
  </si>
  <si>
    <t>High-Velocity Barrel II</t>
  </si>
  <si>
    <t>High-Velocity Barrel III</t>
  </si>
  <si>
    <t>Thermal Scope I</t>
  </si>
  <si>
    <t>Thermal Scope V</t>
  </si>
  <si>
    <t>Thermal Scope IV</t>
  </si>
  <si>
    <t>Thermal Scope III</t>
  </si>
  <si>
    <t>Thermal Scope II</t>
  </si>
  <si>
    <t>Mobility</t>
  </si>
  <si>
    <t>Wave Length</t>
  </si>
  <si>
    <t>Greater Pulse</t>
  </si>
  <si>
    <t>Greater Damage</t>
  </si>
  <si>
    <t>Activation Damage</t>
  </si>
  <si>
    <t>Duration Damage</t>
  </si>
  <si>
    <t>Shield HP Lost for Duration Damage</t>
  </si>
  <si>
    <t>Activation (actions)</t>
  </si>
  <si>
    <t>GETH SHIELD PULSE</t>
  </si>
  <si>
    <t>Adrenaline Boost</t>
  </si>
  <si>
    <t>Painkillers</t>
  </si>
  <si>
    <t>Healing Surge</t>
  </si>
  <si>
    <t>Shield Restoration</t>
  </si>
  <si>
    <t>Greater Healing</t>
  </si>
  <si>
    <t>Shield Hardening</t>
  </si>
  <si>
    <t>UNITY</t>
  </si>
  <si>
    <t>Healing Amount (%)</t>
  </si>
  <si>
    <t>Shield HP Recovered (%)</t>
  </si>
  <si>
    <t>HP DR Provided</t>
  </si>
  <si>
    <t>Shield HP DR Provided</t>
  </si>
  <si>
    <t>+25</t>
  </si>
  <si>
    <t>+0,25</t>
  </si>
  <si>
    <t>+0,25 special</t>
  </si>
  <si>
    <t>Flying Distance (ft)</t>
  </si>
  <si>
    <t>Minimum Cost (points)</t>
  </si>
  <si>
    <t>TACTICAL SCAN</t>
  </si>
  <si>
    <t>Will save DC</t>
  </si>
  <si>
    <t>Weapon Damage</t>
  </si>
  <si>
    <t>Area Scan</t>
  </si>
  <si>
    <t>+6</t>
  </si>
  <si>
    <t>Power Damage Bonus</t>
  </si>
  <si>
    <t>Critical Threat Bonus</t>
  </si>
  <si>
    <t>Critical Multiplier Bonus</t>
  </si>
  <si>
    <t>Burning Duration (actions)</t>
  </si>
  <si>
    <t>LIGHT</t>
  </si>
  <si>
    <t>MEDIUM</t>
  </si>
  <si>
    <t>HEAVY</t>
  </si>
  <si>
    <t>MOD 1</t>
  </si>
  <si>
    <t>TYPE</t>
  </si>
  <si>
    <t>NAME</t>
  </si>
  <si>
    <t>Ajax</t>
  </si>
  <si>
    <t>Light</t>
  </si>
  <si>
    <t>Heavy</t>
  </si>
  <si>
    <t>Fibers</t>
  </si>
  <si>
    <t>Custom</t>
  </si>
  <si>
    <t>FIBERS</t>
  </si>
  <si>
    <t>SPECIAL</t>
  </si>
  <si>
    <t>PIECES</t>
  </si>
  <si>
    <t>MOD 2</t>
  </si>
  <si>
    <t>EXTRA WEIGHT (lb)</t>
  </si>
  <si>
    <t>DR FINAL</t>
  </si>
  <si>
    <t>SHIELDS FINAL</t>
  </si>
  <si>
    <t>FIBERS FINAL</t>
  </si>
  <si>
    <t>CUSTOM FINAL</t>
  </si>
  <si>
    <t>Armor Mod</t>
  </si>
  <si>
    <t>Damage Protection</t>
  </si>
  <si>
    <r>
      <t>Armor Plating:</t>
    </r>
    <r>
      <rPr>
        <sz val="9"/>
        <color rgb="FF365F91"/>
        <rFont val="Times New Roman"/>
        <family val="1"/>
      </rPr>
      <t xml:space="preserve"> increase armor’s damage reduction by 1</t>
    </r>
  </si>
  <si>
    <r>
      <t>Energized Plating:</t>
    </r>
    <r>
      <rPr>
        <sz val="9"/>
        <color rgb="FF365F91"/>
        <rFont val="Times New Roman"/>
        <family val="1"/>
      </rPr>
      <t xml:space="preserve"> increase armor’s damage reduction by 2</t>
    </r>
  </si>
  <si>
    <t>Health Interface</t>
  </si>
  <si>
    <r>
      <t>First Aid Interface:</t>
    </r>
    <r>
      <rPr>
        <sz val="9"/>
        <color rgb="FF365F91"/>
        <rFont val="Times New Roman"/>
        <family val="1"/>
      </rPr>
      <t xml:space="preserve"> Increase amount healed to wearer, by the use of First Aid, by 2</t>
    </r>
  </si>
  <si>
    <r>
      <t>Medical Interface:</t>
    </r>
    <r>
      <rPr>
        <sz val="9"/>
        <color rgb="FF365F91"/>
        <rFont val="Times New Roman"/>
        <family val="1"/>
      </rPr>
      <t xml:space="preserve"> Increase amount healed to wearer, by the use of First Aid, by 4. +2 bonus vs. poisons and diseases</t>
    </r>
  </si>
  <si>
    <r>
      <t>Medical Exoskeleton:</t>
    </r>
    <r>
      <rPr>
        <sz val="9"/>
        <color rgb="FF365F91"/>
        <rFont val="Times New Roman"/>
        <family val="1"/>
      </rPr>
      <t xml:space="preserve"> Increase amount healed to wearer, by the use of First Aid, by 6. +4 bonus vs. poisons and diseases</t>
    </r>
  </si>
  <si>
    <t>Kinetic</t>
  </si>
  <si>
    <r>
      <t xml:space="preserve">Kinetic Buffer: </t>
    </r>
    <r>
      <rPr>
        <sz val="9"/>
        <color rgb="FF365F91"/>
        <rFont val="Times New Roman"/>
        <family val="1"/>
      </rPr>
      <t>+1 bonus on Attack rolls. +1 dodge bonus to Defense. +1 to Reflex saves</t>
    </r>
  </si>
  <si>
    <r>
      <t xml:space="preserve">Kinetic Exoskeleton: </t>
    </r>
    <r>
      <rPr>
        <sz val="9"/>
        <color rgb="FF365F91"/>
        <rFont val="Times New Roman"/>
        <family val="1"/>
      </rPr>
      <t>+2 bonus on Attack rolls. +2 dodge bonus to Defense. +2 to Reflex saves</t>
    </r>
  </si>
  <si>
    <t>Mechanical Augmentations</t>
  </si>
  <si>
    <r>
      <t>Motorized Joints:</t>
    </r>
    <r>
      <rPr>
        <sz val="9"/>
        <color rgb="FF365F91"/>
        <rFont val="Times New Roman"/>
        <family val="1"/>
      </rPr>
      <t xml:space="preserve"> +1 damage with melee attacks</t>
    </r>
  </si>
  <si>
    <r>
      <t>Exoskeleton:</t>
    </r>
    <r>
      <rPr>
        <sz val="9"/>
        <color rgb="FF365F91"/>
        <rFont val="Times New Roman"/>
        <family val="1"/>
      </rPr>
      <t xml:space="preserve"> +2 melee damage. You are treated as one size larger for purposes of resisting Biotic powers. +1 to Fort saves</t>
    </r>
  </si>
  <si>
    <r>
      <t>Combat Exoskeleton:</t>
    </r>
    <r>
      <rPr>
        <sz val="9"/>
        <color rgb="FF365F91"/>
        <rFont val="Times New Roman"/>
        <family val="1"/>
      </rPr>
      <t xml:space="preserve"> +2 melee damage. You are treated as one size large for purposes of resisting Biotic powers. +2 to Fort saves. +1 saves vs Biotic and Tech powers</t>
    </r>
  </si>
  <si>
    <t>Shield Generator</t>
  </si>
  <si>
    <r>
      <t>Shield Battery I:</t>
    </r>
    <r>
      <rPr>
        <sz val="9"/>
        <color rgb="FF365F91"/>
        <rFont val="Times New Roman"/>
        <family val="1"/>
      </rPr>
      <t xml:space="preserve"> increase armor’s base shields by 10% (rounded normally)</t>
    </r>
  </si>
  <si>
    <r>
      <t>Shield Battery II:</t>
    </r>
    <r>
      <rPr>
        <sz val="9"/>
        <color rgb="FF365F91"/>
        <rFont val="Times New Roman"/>
        <family val="1"/>
      </rPr>
      <t xml:space="preserve"> increase armor’s base shields by 20% (rounded normally)</t>
    </r>
  </si>
  <si>
    <r>
      <t>Shield Battery III:</t>
    </r>
    <r>
      <rPr>
        <sz val="9"/>
        <color rgb="FF365F91"/>
        <rFont val="Times New Roman"/>
        <family val="1"/>
      </rPr>
      <t xml:space="preserve"> increase armor’s base shields by 30% (rounded normally)</t>
    </r>
  </si>
  <si>
    <r>
      <t>Shield Battery IV:</t>
    </r>
    <r>
      <rPr>
        <sz val="9"/>
        <color rgb="FF365F91"/>
        <rFont val="Times New Roman"/>
        <family val="1"/>
      </rPr>
      <t xml:space="preserve"> increase armor’s base shields by 40% (rounded normally)</t>
    </r>
  </si>
  <si>
    <r>
      <t>Shield Battery V:</t>
    </r>
    <r>
      <rPr>
        <sz val="9"/>
        <color rgb="FF365F91"/>
        <rFont val="Times New Roman"/>
        <family val="1"/>
      </rPr>
      <t xml:space="preserve"> increase armor’s base shields by 50% (rounded normally)</t>
    </r>
  </si>
  <si>
    <t>Shield Capacitor</t>
  </si>
  <si>
    <r>
      <t>Shield Strength Modulator I:</t>
    </r>
    <r>
      <rPr>
        <sz val="9"/>
        <color rgb="FF365F91"/>
        <rFont val="Times New Roman"/>
        <family val="1"/>
      </rPr>
      <t xml:space="preserve"> Shields gain DR 1</t>
    </r>
  </si>
  <si>
    <r>
      <t>Shield Strength Modulator II:</t>
    </r>
    <r>
      <rPr>
        <sz val="9"/>
        <color rgb="FF365F91"/>
        <rFont val="Times New Roman"/>
        <family val="1"/>
      </rPr>
      <t xml:space="preserve"> Shields gain DR 2</t>
    </r>
  </si>
  <si>
    <r>
      <t>Shield Strength Modulator III:</t>
    </r>
    <r>
      <rPr>
        <sz val="9"/>
        <color rgb="FF365F91"/>
        <rFont val="Times New Roman"/>
        <family val="1"/>
      </rPr>
      <t xml:space="preserve"> Shields gain DR 3</t>
    </r>
  </si>
  <si>
    <t>Shield Recovery</t>
  </si>
  <si>
    <r>
      <t xml:space="preserve">Shield Regenerator: </t>
    </r>
    <r>
      <rPr>
        <sz val="9"/>
        <color rgb="FF365F91"/>
        <rFont val="Times New Roman"/>
        <family val="1"/>
      </rPr>
      <t>Shields regenerate at a rate of 1 Shield HP per round</t>
    </r>
  </si>
  <si>
    <r>
      <t xml:space="preserve">Energized Weave: </t>
    </r>
    <r>
      <rPr>
        <sz val="9"/>
        <color rgb="FF365F91"/>
        <rFont val="Times New Roman"/>
        <family val="1"/>
      </rPr>
      <t>Shields regenerate at a rate of 2 Shield HP per round</t>
    </r>
  </si>
  <si>
    <t>Life-Support Systems</t>
  </si>
  <si>
    <r>
      <t xml:space="preserve">Toxic Seals: </t>
    </r>
    <r>
      <rPr>
        <sz val="9"/>
        <color rgb="FF365F91"/>
        <rFont val="Times New Roman"/>
        <family val="1"/>
      </rPr>
      <t>+4 bonus vs poisons and diseases</t>
    </r>
  </si>
  <si>
    <r>
      <t xml:space="preserve">Pressurized Seals: </t>
    </r>
    <r>
      <rPr>
        <sz val="9"/>
        <color rgb="FF365F91"/>
        <rFont val="Times New Roman"/>
        <family val="1"/>
      </rPr>
      <t>+4 bonus vs poisons and diseases. Reduce Hazard level by 1</t>
    </r>
  </si>
  <si>
    <r>
      <t>Large Air-Tank:</t>
    </r>
    <r>
      <rPr>
        <sz val="9"/>
        <color rgb="FF365F91"/>
        <rFont val="Times New Roman"/>
        <family val="1"/>
      </rPr>
      <t xml:space="preserve"> Character can breathe in non-breathable environments up to 2 hours instead of just 1 hour.</t>
    </r>
  </si>
  <si>
    <r>
      <t xml:space="preserve">Hardening Weave: </t>
    </r>
    <r>
      <rPr>
        <sz val="9"/>
        <color rgb="FF365F91"/>
        <rFont val="Times New Roman"/>
        <family val="1"/>
      </rPr>
      <t>+2 bonus on Fort and Ref saves</t>
    </r>
  </si>
  <si>
    <r>
      <t>Reinforced Joints I:</t>
    </r>
    <r>
      <rPr>
        <sz val="9"/>
        <color rgb="FF365F91"/>
        <rFont val="Times New Roman"/>
        <family val="1"/>
      </rPr>
      <t xml:space="preserve"> +15% chance to negate critical hits and sneak attacks. Benefit is only +7% if wearer has no helmet.</t>
    </r>
  </si>
  <si>
    <r>
      <t>Reinforced Joints II:</t>
    </r>
    <r>
      <rPr>
        <sz val="9"/>
        <color rgb="FF365F91"/>
        <rFont val="Times New Roman"/>
        <family val="1"/>
      </rPr>
      <t xml:space="preserve"> +30% chance to negate critical hits and sneak attacks. Benefit is only +15% if wearer has no helmet.</t>
    </r>
  </si>
  <si>
    <r>
      <t>Reinforced Joints III:</t>
    </r>
    <r>
      <rPr>
        <sz val="9"/>
        <color rgb="FF365F91"/>
        <rFont val="Times New Roman"/>
        <family val="1"/>
      </rPr>
      <t xml:space="preserve"> +45% chance to negate critical hits and sneak attacks. Benefit is only +22% if wearer has no helmet.</t>
    </r>
  </si>
  <si>
    <r>
      <t>Reinforced Joints IV:</t>
    </r>
    <r>
      <rPr>
        <sz val="9"/>
        <color rgb="FF365F91"/>
        <rFont val="Times New Roman"/>
        <family val="1"/>
      </rPr>
      <t xml:space="preserve"> +60% chance to negate critical hits and sneak attacks. Benefit is only +30% if wearer has no helmet.</t>
    </r>
  </si>
  <si>
    <r>
      <t>Reinforced Joints V:</t>
    </r>
    <r>
      <rPr>
        <sz val="9"/>
        <color rgb="FF365F91"/>
        <rFont val="Times New Roman"/>
        <family val="1"/>
      </rPr>
      <t xml:space="preserve"> +75% chance to negate critical hits and sneak attacks. Benefit is only +37% if wearer has no helmet.</t>
    </r>
  </si>
  <si>
    <t>Deflector Shield</t>
  </si>
  <si>
    <r>
      <t>Lesser Deflector Shield Generator:</t>
    </r>
    <r>
      <rPr>
        <sz val="9"/>
        <color rgb="FF365F91"/>
        <rFont val="Times New Roman"/>
        <family val="1"/>
      </rPr>
      <t>+1 to Defense</t>
    </r>
  </si>
  <si>
    <r>
      <t>Deflector Shield Generator:</t>
    </r>
    <r>
      <rPr>
        <sz val="9"/>
        <color rgb="FF365F91"/>
        <rFont val="Times New Roman"/>
        <family val="1"/>
      </rPr>
      <t>+2 to Defense</t>
    </r>
  </si>
  <si>
    <r>
      <t>Greater Deflector Shield Generator:</t>
    </r>
    <r>
      <rPr>
        <sz val="9"/>
        <color rgb="FF365F91"/>
        <rFont val="Times New Roman"/>
        <family val="1"/>
      </rPr>
      <t>+4 to Defense</t>
    </r>
  </si>
  <si>
    <t>Armor Plating</t>
  </si>
  <si>
    <t>Energized Plating</t>
  </si>
  <si>
    <t>First Aid Interface</t>
  </si>
  <si>
    <t>Medical Interface</t>
  </si>
  <si>
    <t>Medical Exoskeleton</t>
  </si>
  <si>
    <t>Kinetic Buffer</t>
  </si>
  <si>
    <t>Kinetic Exoskeleton</t>
  </si>
  <si>
    <t>Motorized Joints</t>
  </si>
  <si>
    <t>Exoskeleton</t>
  </si>
  <si>
    <t>Combat Exoskeleton</t>
  </si>
  <si>
    <t>Shield Battery I</t>
  </si>
  <si>
    <t>Shield Battery II</t>
  </si>
  <si>
    <t>Shield Battery III</t>
  </si>
  <si>
    <t>Shield Battery IV</t>
  </si>
  <si>
    <t>Shield Battery V</t>
  </si>
  <si>
    <t>Shield Strength Modulator I</t>
  </si>
  <si>
    <t>Shield Strength Modulator II</t>
  </si>
  <si>
    <t>Shield Strength Modulator III</t>
  </si>
  <si>
    <t>Shield Regenerator</t>
  </si>
  <si>
    <t>Energized Weave</t>
  </si>
  <si>
    <t>Toxic Seals</t>
  </si>
  <si>
    <t>Pressurized Seals</t>
  </si>
  <si>
    <t>Large Air-Tank</t>
  </si>
  <si>
    <t>Hardening Weave</t>
  </si>
  <si>
    <t>Reinforced JointsI</t>
  </si>
  <si>
    <t>Reinforced Joints II</t>
  </si>
  <si>
    <t>Reinforced Joints III</t>
  </si>
  <si>
    <t>Reinforced Joints IV</t>
  </si>
  <si>
    <t>Reinforced Joints V</t>
  </si>
  <si>
    <t>Lesser Deflector Shield Generator</t>
  </si>
  <si>
    <t>Deflector Shield Generator</t>
  </si>
  <si>
    <t>Greater Deflector Shield Generator</t>
  </si>
  <si>
    <t>Extras</t>
  </si>
  <si>
    <r>
      <t>Weight</t>
    </r>
    <r>
      <rPr>
        <b/>
        <vertAlign val="superscript"/>
        <sz val="9"/>
        <color rgb="FF365F91"/>
        <rFont val="Times New Roman"/>
        <family val="1"/>
      </rPr>
      <t>1</t>
    </r>
  </si>
  <si>
    <t>Visors</t>
  </si>
  <si>
    <t>Helmet; +2 bonus on Charisma-based skills; can breathe in vacuum and non-breathable environments</t>
  </si>
  <si>
    <t>Recon Hood</t>
  </si>
  <si>
    <t>Helmet; +1 bonus to attack rolls made with weapons; +1 bonus on Heavy Weapon checks made when firing a Heavy Weapon; can breathe in vacuum and non-breathable environments</t>
  </si>
  <si>
    <t>Capacitor Helmet</t>
  </si>
  <si>
    <t>Shields recharge at a rate of 1 point per round; cannot breathe in vacuum and non-breathable environments</t>
  </si>
  <si>
    <t>Umbra Visor</t>
  </si>
  <si>
    <t>+2 bonus on ranged touch attacks made with Biotic or Tech powers; cannot breathe in vacuum and non-breathable environments</t>
  </si>
  <si>
    <t>Securitel Helmet</t>
  </si>
  <si>
    <t>+1 HP per 2 levels; +1 Shield HP per 2 levels; cannot breathe in vacuum and non-breathable environments</t>
  </si>
  <si>
    <t>Sentry Interface</t>
  </si>
  <si>
    <t>Increase armor base shields by 10% (rounded down)</t>
  </si>
  <si>
    <t>Archon Visor</t>
  </si>
  <si>
    <t>At the start of each encounter the Visor starts with 3 charges. Each charge can be expended with a free action (more than one charge can be spent in 1 free action) to reduce the cooldown of one Biotic or Tech power by 1 action (minimum of 1 action)</t>
  </si>
  <si>
    <t>Kuwashii Visor</t>
  </si>
  <si>
    <t>Increase damage on critical hit by 10% (minimum +1 bonus damage); cannot breathe in vacuum and non-breathable environments</t>
  </si>
  <si>
    <t>Mnemonic Visor</t>
  </si>
  <si>
    <t>Combat, Tech and Biotic powers that deal damage deal 1 extra damage; cannot breathe in vacuum and non-breathable environments</t>
  </si>
  <si>
    <t>Delumcore Overlay</t>
  </si>
  <si>
    <t>Increase weapon critical threat range by +1; cannot breathe in vacuum and non-breathable environments</t>
  </si>
  <si>
    <t>Chest Armor</t>
  </si>
  <si>
    <t>Guerrilla Vest</t>
  </si>
  <si>
    <t xml:space="preserve">Carries extra 8 Thermal Clips. </t>
  </si>
  <si>
    <t>Capacitor Chestplate</t>
  </si>
  <si>
    <t>Shields recharge at a rate of 1 point per round</t>
  </si>
  <si>
    <t>Shield Harness</t>
  </si>
  <si>
    <t>Aegis Vest</t>
  </si>
  <si>
    <t xml:space="preserve">+2 to Constitution </t>
  </si>
  <si>
    <t>Ariake Battle Vest</t>
  </si>
  <si>
    <t>+2 to Strength</t>
  </si>
  <si>
    <t>Shoulders</t>
  </si>
  <si>
    <t>Asymmetric Defense Layer</t>
  </si>
  <si>
    <t>+1 HP per level</t>
  </si>
  <si>
    <t>Amplifier Plates</t>
  </si>
  <si>
    <t>Tech and Biotic powers that deal damage deal 1 extra damage</t>
  </si>
  <si>
    <t>Strength Boost Pads</t>
  </si>
  <si>
    <t>+2 to Strength; melee attacks deal extra 1d6 damage (1d4 for Small creatures)</t>
  </si>
  <si>
    <t>Cyclonic Shield Generator</t>
  </si>
  <si>
    <t>Shields gain DR 1</t>
  </si>
  <si>
    <t>Arms</t>
  </si>
  <si>
    <t>Off-Hand Ammo Pack</t>
  </si>
  <si>
    <t>Carries 4 extra Thermal Clips</t>
  </si>
  <si>
    <t>Stimulator Gauntlets</t>
  </si>
  <si>
    <t>+2 to Dexterity</t>
  </si>
  <si>
    <t>Heavy Damping Gauntlets</t>
  </si>
  <si>
    <t>Reduce damage to shields by 1 per shot</t>
  </si>
  <si>
    <t>Stabilization Gauntlets</t>
  </si>
  <si>
    <t>+1 bonus to attack rolls; +4 to confirm critical hits; increase critical threat range by 1</t>
  </si>
  <si>
    <t>Legs</t>
  </si>
  <si>
    <t>Life Supporting Webbing</t>
  </si>
  <si>
    <t>+3</t>
  </si>
  <si>
    <t>Exoskeleton Greaves</t>
  </si>
  <si>
    <t>Ordinance Packs</t>
  </si>
  <si>
    <t>+10% Heavy Weapon ammo capacity</t>
  </si>
  <si>
    <t>Stimulator Conduits</t>
  </si>
  <si>
    <t>+5 ft bonus to base speed</t>
  </si>
  <si>
    <t>Advanced Fibers (+1)</t>
  </si>
  <si>
    <t>Increase the armor’s base Enhanced Fibers bonus by +1</t>
  </si>
  <si>
    <t>Advanced Fibers (+2)</t>
  </si>
  <si>
    <t>Increase the armor’s base Enhanced Fibers bonus by +2</t>
  </si>
  <si>
    <t>Advanced Fibers (+3)</t>
  </si>
  <si>
    <t>Increase the armor’s base Enhanced Fibers bonus by +3</t>
  </si>
  <si>
    <t>Advanced Fibers (+4)</t>
  </si>
  <si>
    <t>Increase the armor’s base Enhanced Fibers bonus by +4</t>
  </si>
  <si>
    <t>Advanced Fibers (+5)</t>
  </si>
  <si>
    <t>Increase the armor’s base Enhanced Fibers bonus by +5</t>
  </si>
  <si>
    <t>Death Mask</t>
  </si>
  <si>
    <t>Fiber</t>
  </si>
  <si>
    <t>ARMOR+PIECE WEIGHT (lb)</t>
  </si>
  <si>
    <t>VARIANT</t>
  </si>
  <si>
    <t xml:space="preserve">      Coordinated Shot</t>
  </si>
  <si>
    <t>Krogan Battlehammer</t>
  </si>
  <si>
    <t>Nightshade Blades</t>
  </si>
  <si>
    <t>N7 Shadow Blade</t>
  </si>
  <si>
    <t>N7 Slayer Blade</t>
  </si>
  <si>
    <t>Spirit</t>
  </si>
  <si>
    <t>Costum-Made</t>
  </si>
  <si>
    <t>Shields regenerate at a rate of 1 point per round;
Deal 1 extra damage per shot;
Increase ammo-clip size by 20% (rounded normally);
Increase Critical Threat Multiplier of all attacks by 1</t>
  </si>
  <si>
    <t>Reduce cooldown of Biotic, Combat and Tech powers by 1 action (minimum of 1 action);
Shields regenerate at a rate of of 1 point per round</t>
  </si>
  <si>
    <t>Shade</t>
  </si>
  <si>
    <t xml:space="preserve"> </t>
  </si>
  <si>
    <t>If the armor is costum-made, see the Equipment sheet</t>
  </si>
  <si>
    <t>Costum-Made Armor</t>
  </si>
  <si>
    <t>SHIELD HP</t>
  </si>
  <si>
    <t>COSTUMIZABLE</t>
  </si>
  <si>
    <t>Power Magnifier I</t>
  </si>
  <si>
    <t>Power Magnifier II</t>
  </si>
  <si>
    <t>Power Magnifier III</t>
  </si>
  <si>
    <t>Pistol Suppressor</t>
  </si>
  <si>
    <t>SMG Suppressor</t>
  </si>
  <si>
    <t>Assault Rifle Suppressor I</t>
  </si>
  <si>
    <t>Assault Rifle Suppressor II</t>
  </si>
  <si>
    <t>Sniper Rifle Suppressor I</t>
  </si>
  <si>
    <t>Sniper Rifle Suppressor II</t>
  </si>
  <si>
    <t>Ultralight Materials I</t>
  </si>
  <si>
    <t>Ultralight Materials II</t>
  </si>
  <si>
    <t>Ultralight Materials III</t>
  </si>
  <si>
    <t>Ultralight Materials IV</t>
  </si>
  <si>
    <t>Ultralight Materials V</t>
  </si>
  <si>
    <t>Asari</t>
  </si>
  <si>
    <t>Drell</t>
  </si>
  <si>
    <t>Elcor</t>
  </si>
  <si>
    <t>Human</t>
  </si>
  <si>
    <t>Batarian</t>
  </si>
  <si>
    <t>Krogan</t>
  </si>
  <si>
    <t>Quarian</t>
  </si>
  <si>
    <t>Salarian</t>
  </si>
  <si>
    <t>Turian</t>
  </si>
  <si>
    <t>Volus</t>
  </si>
  <si>
    <t>Vorcha</t>
  </si>
  <si>
    <t>Batarian Brawler</t>
  </si>
  <si>
    <t>Drell Assassin</t>
  </si>
  <si>
    <t>Elcor Living Tank</t>
  </si>
  <si>
    <t>Volus Protector</t>
  </si>
  <si>
    <t>Vorcha Hunter</t>
  </si>
  <si>
    <t>Ultra-Efficient Heat Sink I</t>
  </si>
  <si>
    <t>Ultra-Efficient Heat Sink II</t>
  </si>
  <si>
    <t>Reactive Plating</t>
  </si>
  <si>
    <t>Versatile Melee Combatant</t>
  </si>
  <si>
    <t>Stand Tough</t>
  </si>
  <si>
    <t>Quick Sniping</t>
  </si>
  <si>
    <t>Power Arc</t>
  </si>
  <si>
    <t xml:space="preserve">   Point Blank Mastery</t>
  </si>
  <si>
    <t>Piercing Power</t>
  </si>
  <si>
    <t>Parry</t>
  </si>
  <si>
    <t xml:space="preserve">   Block and Kick</t>
  </si>
  <si>
    <t xml:space="preserve">   Disarming Parry</t>
  </si>
  <si>
    <t xml:space="preserve">   Greater Parry</t>
  </si>
  <si>
    <t>Neck Breaker</t>
  </si>
  <si>
    <t>Martial Prowess</t>
  </si>
  <si>
    <t>Major Endurance</t>
  </si>
  <si>
    <t>Luck of Heroes</t>
  </si>
  <si>
    <t>Low Damage Output</t>
  </si>
  <si>
    <t>Limb Breaker</t>
  </si>
  <si>
    <t>Hide in Plain Sight</t>
  </si>
  <si>
    <t>Gun Kata</t>
  </si>
  <si>
    <t>Grenade Expert</t>
  </si>
  <si>
    <t>Expert (Weapon-Based Power)</t>
  </si>
  <si>
    <t>Greater (Ability Score)</t>
  </si>
  <si>
    <t>Display of Superiority</t>
  </si>
  <si>
    <t>Choking Grab</t>
  </si>
  <si>
    <t>Bleeding Critical</t>
  </si>
  <si>
    <t>Advanced Power Recharge</t>
  </si>
  <si>
    <t>Kinetic Plating</t>
  </si>
  <si>
    <t>Skill Over Luck</t>
  </si>
  <si>
    <t>Extra Combat Training</t>
  </si>
  <si>
    <t>White Hat</t>
  </si>
  <si>
    <t>Weapon Specialization</t>
  </si>
  <si>
    <t xml:space="preserve">   Jet Dodge</t>
  </si>
  <si>
    <t>Double Jointed</t>
  </si>
  <si>
    <t xml:space="preserve">   Eye for Business</t>
  </si>
  <si>
    <t>Slide Through</t>
  </si>
  <si>
    <t xml:space="preserve">   Quick Swap</t>
  </si>
  <si>
    <t>DR from variant</t>
  </si>
  <si>
    <t>TOUCH DEFENSE</t>
  </si>
  <si>
    <t>FLAT-FOOTED DEFENSE</t>
  </si>
  <si>
    <t>Laser Dot</t>
  </si>
  <si>
    <t>Angara</t>
  </si>
  <si>
    <t>SIZE + BAB + WEIGHT</t>
  </si>
  <si>
    <t>Empowered Offense</t>
  </si>
  <si>
    <t>Multiple Targets</t>
  </si>
  <si>
    <t>Human Explorer</t>
  </si>
  <si>
    <t>Angara Resistance Fighter</t>
  </si>
  <si>
    <t>P.A.W.</t>
  </si>
  <si>
    <t>Sandstorm</t>
  </si>
  <si>
    <t>Sweeper</t>
  </si>
  <si>
    <t>Thokin</t>
  </si>
  <si>
    <t>Zalkin</t>
  </si>
  <si>
    <t>Ruzad</t>
  </si>
  <si>
    <t>Dahn</t>
  </si>
  <si>
    <t>Hesh</t>
  </si>
  <si>
    <t>Scattershot</t>
  </si>
  <si>
    <t>Soned</t>
  </si>
  <si>
    <t>Equalizer</t>
  </si>
  <si>
    <t>Inferno</t>
  </si>
  <si>
    <t>Isharay</t>
  </si>
  <si>
    <t>Lanat</t>
  </si>
  <si>
    <t>Naladen</t>
  </si>
  <si>
    <t>Shadow</t>
  </si>
  <si>
    <t>Vanquisher</t>
  </si>
  <si>
    <t>Assault Rifle</t>
  </si>
  <si>
    <t>Shotgun</t>
  </si>
  <si>
    <t>Sniper Rifle</t>
  </si>
  <si>
    <t>Submachine Gun</t>
  </si>
  <si>
    <t>Melee</t>
  </si>
  <si>
    <t>HP per level sum:</t>
  </si>
  <si>
    <t>WEAPON</t>
  </si>
  <si>
    <t>Sidewinder</t>
  </si>
  <si>
    <t>Rozerad</t>
  </si>
  <si>
    <t>Ushior</t>
  </si>
  <si>
    <t>Critical Hit</t>
  </si>
  <si>
    <t>1d5/1d10</t>
  </si>
  <si>
    <t>1d6/1d12</t>
  </si>
  <si>
    <t>Min Range</t>
  </si>
  <si>
    <t>Multiplier</t>
  </si>
  <si>
    <t>Type</t>
  </si>
  <si>
    <t>Number</t>
  </si>
  <si>
    <t>Semi-automatic</t>
  </si>
  <si>
    <t>Pistol</t>
  </si>
  <si>
    <t>4d10</t>
  </si>
  <si>
    <t>3d4</t>
  </si>
  <si>
    <t>3d10</t>
  </si>
  <si>
    <t>3d12</t>
  </si>
  <si>
    <t>2d12</t>
  </si>
  <si>
    <t>4d5</t>
  </si>
  <si>
    <t>2d8/3d8</t>
  </si>
  <si>
    <t>2d6/3d6</t>
  </si>
  <si>
    <t>3d3</t>
  </si>
  <si>
    <t>Weapon 1</t>
  </si>
  <si>
    <t>Weapon 2</t>
  </si>
  <si>
    <t>Weapon 3</t>
  </si>
  <si>
    <t>Weapon 4</t>
  </si>
  <si>
    <t>Weapon 5</t>
  </si>
  <si>
    <t>Proficiency?</t>
  </si>
  <si>
    <t>Proficiency:</t>
  </si>
  <si>
    <t>(submachine gun)</t>
  </si>
  <si>
    <t>Critical Final</t>
  </si>
  <si>
    <t>Critical Minor</t>
  </si>
  <si>
    <t>Critical Multiplier</t>
  </si>
  <si>
    <t>Recoil penalty -1</t>
  </si>
  <si>
    <t>RoF +1</t>
  </si>
  <si>
    <t>Threat range +1</t>
  </si>
  <si>
    <t>Range +5</t>
  </si>
  <si>
    <t>Range +10</t>
  </si>
  <si>
    <t>Multiplier +1</t>
  </si>
  <si>
    <t>Ammo +5</t>
  </si>
  <si>
    <t>Ammo +6</t>
  </si>
  <si>
    <t>FINAL</t>
  </si>
  <si>
    <t>Mods Weapon 1</t>
  </si>
  <si>
    <t>Mods Weapon 2</t>
  </si>
  <si>
    <t>Mods Weapon 3</t>
  </si>
  <si>
    <t>Mods Weapon 4</t>
  </si>
  <si>
    <t>Mods Weapon 5</t>
  </si>
  <si>
    <t>Explosive Ammo</t>
  </si>
  <si>
    <t>Precision Mod</t>
  </si>
  <si>
    <t>SMG Barrel Extention</t>
  </si>
  <si>
    <t>Pistol Barrel Extention</t>
  </si>
  <si>
    <t>Rifle Barrel Extention</t>
  </si>
  <si>
    <t>Visor – +2 bonus to Spot and Search checks
Chest – Reduces Hazardous level by 1
Legs – +5 ft to base speed</t>
  </si>
  <si>
    <t>Visor – +3 bonus to Spot and Search checks
Chest – Reduces Hazardous level by 1
Legs – +5 ft to base speed</t>
  </si>
  <si>
    <t>Chest – Shields regenerate at a rate of 1 point per round; +2 bonus on Hide checks
Legs – +2 bonus on Move Silently checks</t>
  </si>
  <si>
    <r>
      <t xml:space="preserve">Visor - +4 on saves against being blinded by bright lights or blinding effects like the </t>
    </r>
    <r>
      <rPr>
        <i/>
        <sz val="9"/>
        <color rgb="FF365F91"/>
        <rFont val="Times New Roman"/>
        <family val="1"/>
      </rPr>
      <t>Flashbang Grenade</t>
    </r>
    <r>
      <rPr>
        <sz val="9"/>
        <color rgb="FF365F91"/>
        <rFont val="Times New Roman"/>
        <family val="1"/>
      </rPr>
      <t xml:space="preserve"> power
Arms – +1 melee damage
Legs – +5ft to base speed</t>
    </r>
  </si>
  <si>
    <t>No Shield HP, can't gain any. Instead, provides 15 HP + 1 HP / lvl
Visor – +2 Dmg on Critical Hits
Chest – Reduces Hazardous level by 1
Legs – +2 Thermal Clip</t>
  </si>
  <si>
    <t>Angara Light Armor</t>
  </si>
  <si>
    <t>V; A</t>
  </si>
  <si>
    <t>Arms – +1 dmg per shot</t>
  </si>
  <si>
    <t>A; L</t>
  </si>
  <si>
    <t>No Shield HP, can't gain any. Instead, provides 30 HP + 2 HP / lvl
Visor – +4 Dmg on Critical Hits
Chest – Reduces Hazardous level by 1
Shoulder – +1 to Critical Threat Range
Legs – +4 Thermal Clip</t>
  </si>
  <si>
    <t>Angara Medium Armor</t>
  </si>
  <si>
    <t>Chest – Shields regenerate at a rate of 1 point per round; +3 bonus on Hide checks
Legs – +3 bonus on Move Silently checks</t>
  </si>
  <si>
    <t>Arms – +10% dmg to Tech Powers</t>
  </si>
  <si>
    <t>Arms – +20% dmg to Tech Powers
Shoulder – Tech powers have their duration increased by 1 action</t>
  </si>
  <si>
    <t>Arms – +1 dmg per shot
Shoulder – +10% dmg to all powers</t>
  </si>
  <si>
    <t>Reduce Shield restart by 1 action (minimum of 1 action); 2 Shield HP regen; HP regeneration 1</t>
  </si>
  <si>
    <t>Chest – +1 HP / 2 lvls
Arms – Biotic, Combat and Tech powers that deal damage deal 1 extra damage</t>
  </si>
  <si>
    <t>No Shield HP, can't gain any. Instead, provides 45 HP + 4 HP / lvl
Visor – +6 Dmg on Critical Hits
Chest – Reduces Hazardous level by 1
Shoulder – +2 to Critical Threat Range
Legs – +6 Thermal Clip</t>
  </si>
  <si>
    <t>Visor – +5 bonus to Spot and Search checks
Chest – Reduces Hazardous level by 2
Legs – +10 ft to base speed</t>
  </si>
  <si>
    <t>+5 ft to base speed
Carries 2 extra Thermal Clips
Shields have DR 1
+2 bonus to Intimidate checks</t>
  </si>
  <si>
    <t>Arms – +30% dmg to Tech Powers
Shoulder – Tech powers have their duration increased by 2 action</t>
  </si>
  <si>
    <t>Arms – +2 dmg per shot
Shoulder – +20% dmg to all powers</t>
  </si>
  <si>
    <t>Chest – Shields regenerate at a rate of 1 point per round; +4 bonus on Hide checks
Legs – +4 bonus on Move Silently checks</t>
  </si>
  <si>
    <t>+10% Heavy Weapon ammo capacity
+1 HP per level</t>
  </si>
  <si>
    <t>Chest – Increases krogan Plating by 1 per level
Arms – Melee attacks have their critical multiplier increased by 1</t>
  </si>
  <si>
    <t>Reduce Shield restart by 1 action (minimum of 1 action); 4 Shield HP regen; HP regeneration 2</t>
  </si>
  <si>
    <t>Visor – Deal extra 1d6 damage on Critical hits
Chest – Shields have DR 1
Shoulders – Deal +3 damage with melee attacks
Arms – Deal 1 extra damage per shot
Legs – +5% Heavy Weapon ammo capacity</t>
  </si>
  <si>
    <t>Chest – +1 HP per 2 levels
Shoulders - +1 damage per shot
Arms – Biotic, Combat and Tech powers that deal damage deal 10% extra damage</t>
  </si>
  <si>
    <t>+1 HP per 2 levels
Each shot deals +1 extra damage
Carries 3 extra Thermal Clips.</t>
  </si>
  <si>
    <t>Shield DR 1
Arms – Total Recoil Penalty -1
Legs – +1 Defense (not Surprise Defense)</t>
  </si>
  <si>
    <t>Shield DR 2
Arms – Total Recoil Penalty -2
Legs – +1 Defense (not Surprise Defense)</t>
  </si>
  <si>
    <t>Shield DR 3
Arms – Total Recoil Penalty -3
Legs – +2 Defense (not Surprise Defense)</t>
  </si>
  <si>
    <t>+1 damage per shot; 
Biotic, Combat and Tech powers that deal damage deal 1 extra damage; 
Fires missiles with Free Action;
+2 Str;
Shields have DR 1</t>
  </si>
  <si>
    <t>Mercenary Light</t>
  </si>
  <si>
    <t>Onyx Light</t>
  </si>
  <si>
    <t>Scorpion Light</t>
  </si>
  <si>
    <t>Maverick Light</t>
  </si>
  <si>
    <t>Silverback Light</t>
  </si>
  <si>
    <t>Explorer Light</t>
  </si>
  <si>
    <t>Heleus Light</t>
  </si>
  <si>
    <t>Phantom Light</t>
  </si>
  <si>
    <t>Vohrtix  Light</t>
  </si>
  <si>
    <t>Rosenkov Light</t>
  </si>
  <si>
    <t>Project Phoenix Light</t>
  </si>
  <si>
    <t>N7 Armor Light</t>
  </si>
  <si>
    <t>HyperGuardian Light</t>
  </si>
  <si>
    <t>Colossus Light</t>
  </si>
  <si>
    <t>Pathfinder Light</t>
  </si>
  <si>
    <t>Mercenary Medium</t>
  </si>
  <si>
    <t>Agent Medium</t>
  </si>
  <si>
    <t>Onyx Medium</t>
  </si>
  <si>
    <t>Maverick Medium</t>
  </si>
  <si>
    <t>Silverback Medium</t>
  </si>
  <si>
    <t>Explorer Medium</t>
  </si>
  <si>
    <t>Heleus Medium</t>
  </si>
  <si>
    <t>Scorpion Medium</t>
  </si>
  <si>
    <t>Rosenkov Medium</t>
  </si>
  <si>
    <t>Phantom Medium</t>
  </si>
  <si>
    <t>Project Phoenix Medium</t>
  </si>
  <si>
    <t>Remnant Medium</t>
  </si>
  <si>
    <t>HyperGuardian Medium</t>
  </si>
  <si>
    <t>N7 Armor Medium</t>
  </si>
  <si>
    <t>Vohrtix Medium</t>
  </si>
  <si>
    <t>Colossus Medium</t>
  </si>
  <si>
    <t>Pathfinder Medium</t>
  </si>
  <si>
    <t>Mercenary Heavy</t>
  </si>
  <si>
    <t>Agent Heavy</t>
  </si>
  <si>
    <t>Onyx Heavy</t>
  </si>
  <si>
    <t>Maverick Heavy</t>
  </si>
  <si>
    <t>Explorer Heavy</t>
  </si>
  <si>
    <t>Scorpion Heavy</t>
  </si>
  <si>
    <t>Heleus Heavy</t>
  </si>
  <si>
    <t>Angara Heavy Armor</t>
  </si>
  <si>
    <t>Phantom Heavy</t>
  </si>
  <si>
    <t>Rosenkov Heavy</t>
  </si>
  <si>
    <t>Remnant Heavy</t>
  </si>
  <si>
    <t>N7 Armor Heavy</t>
  </si>
  <si>
    <t>Vohrtix Heavy</t>
  </si>
  <si>
    <t>HyperGuardian Heavy</t>
  </si>
  <si>
    <t>Colossus Heavy</t>
  </si>
  <si>
    <t>Pathfinder Heavy</t>
  </si>
  <si>
    <r>
      <t xml:space="preserve">Visor - +4 on saves against being blinded by bright lights or blinding effects like the </t>
    </r>
    <r>
      <rPr>
        <i/>
        <sz val="9"/>
        <color rgb="FF365F91"/>
        <rFont val="Times New Roman"/>
        <family val="1"/>
      </rPr>
      <t>Flashbang Grenade</t>
    </r>
    <r>
      <rPr>
        <sz val="9"/>
        <color rgb="FF365F91"/>
        <rFont val="Times New Roman"/>
        <family val="1"/>
      </rPr>
      <t xml:space="preserve"> power
Arms – +1 melee damage
Legs – +5 ft to base speed</t>
    </r>
  </si>
  <si>
    <t>Shields regenerate at a rate of 3 points per round;
Biotic, Combat and Tech powers that deal damage deal 20% extra damage;
Melee attacks deal +1 extra damage</t>
  </si>
  <si>
    <t>Shields regenerate at a rate of 1 point per round
Biotic, Combat and Tech powers that deal damage deal 10% extra damage
Deal 1 extra damage per shot
+1 melee damage
Carries 4 extra thermal clips</t>
  </si>
  <si>
    <t>(melee)</t>
  </si>
  <si>
    <t>Creative</t>
  </si>
  <si>
    <t>Double Incinerate</t>
  </si>
  <si>
    <t>Hold the Line</t>
  </si>
  <si>
    <t>Less Sleep</t>
  </si>
  <si>
    <t>Ranged Touch Focus</t>
  </si>
  <si>
    <t>Short Fuse</t>
  </si>
  <si>
    <t>Bioelectric Shield Dome</t>
  </si>
  <si>
    <t>Bioelectric Weapon Boost</t>
  </si>
  <si>
    <t xml:space="preserve">   Prolongued Biotics</t>
  </si>
  <si>
    <t xml:space="preserve">   Extended Combat Power</t>
  </si>
  <si>
    <t xml:space="preserve">   Stronger Combat Power</t>
  </si>
  <si>
    <t>Detonating Throw</t>
  </si>
  <si>
    <t>SHIELD HP DR</t>
  </si>
  <si>
    <t>PLATING HP DR</t>
  </si>
  <si>
    <t>Normal HP DR</t>
  </si>
  <si>
    <t>Turbocharge</t>
  </si>
  <si>
    <t>Vortex</t>
  </si>
  <si>
    <t>Damage Aftermath</t>
  </si>
  <si>
    <t>Shield Resurgence</t>
  </si>
  <si>
    <t>Reflection</t>
  </si>
  <si>
    <t>Absorbs</t>
  </si>
  <si>
    <t>Aegis HP</t>
  </si>
  <si>
    <t>Shots Blocked</t>
  </si>
  <si>
    <t>1 in 5</t>
  </si>
  <si>
    <t>1 in 4</t>
  </si>
  <si>
    <t>INVASION</t>
  </si>
  <si>
    <t>Outbreak</t>
  </si>
  <si>
    <t>Epidemic</t>
  </si>
  <si>
    <t>Weaken</t>
  </si>
  <si>
    <t>Virulence</t>
  </si>
  <si>
    <t>Sabotage</t>
  </si>
  <si>
    <t>Shield HP DR</t>
  </si>
  <si>
    <t>Attack / Heavy Weapons penalty</t>
  </si>
  <si>
    <t>Fort and Ref penalty</t>
  </si>
  <si>
    <t>Damage penalty</t>
  </si>
  <si>
    <t>TEAM SUPPORT</t>
  </si>
  <si>
    <t>Squad Regeneration</t>
  </si>
  <si>
    <t>Deflective Shields</t>
  </si>
  <si>
    <t>Team Shielding</t>
  </si>
  <si>
    <t>Tactical Revival</t>
  </si>
  <si>
    <t>Defense Grid</t>
  </si>
  <si>
    <t>Life Support</t>
  </si>
  <si>
    <t>Shield HP bonus</t>
  </si>
  <si>
    <t>Shield HP regen</t>
  </si>
  <si>
    <t>Defense bonus</t>
  </si>
  <si>
    <t>Normal HP regen</t>
  </si>
  <si>
    <t>Power Consumption</t>
  </si>
  <si>
    <t>Weapon Feedback</t>
  </si>
  <si>
    <t>Power Feedback</t>
  </si>
  <si>
    <t>Regeneration</t>
  </si>
  <si>
    <t>Electric Defense</t>
  </si>
  <si>
    <t>Power Cell consumption</t>
  </si>
  <si>
    <t>1/2</t>
  </si>
  <si>
    <t>1/3</t>
  </si>
  <si>
    <t>Weapon bonus</t>
  </si>
  <si>
    <t>Power bonus</t>
  </si>
  <si>
    <t>TRIP MINE</t>
  </si>
  <si>
    <t>Sensor Range</t>
  </si>
  <si>
    <t>Detonator</t>
  </si>
  <si>
    <t>EMP</t>
  </si>
  <si>
    <t>Proximity radius</t>
  </si>
  <si>
    <t>Square</t>
  </si>
  <si>
    <t>10 ft square</t>
  </si>
  <si>
    <t>BARRICADE</t>
  </si>
  <si>
    <t>Laser Sensor (ft)</t>
  </si>
  <si>
    <t>Blast damage</t>
  </si>
  <si>
    <t>Blast radius (ft)</t>
  </si>
  <si>
    <t>+1d6 vs Shield HP / Synthetics</t>
  </si>
  <si>
    <t>CUSTOMIZE</t>
  </si>
  <si>
    <t>Provides Plating HP equal to 10 + 1 per 2 lvls
+1 melee damage</t>
  </si>
  <si>
    <t>Provides Plating HP equal to 10 + 1 per lvl
+2 melee damage</t>
  </si>
  <si>
    <t>Provides Plating HP equal to 15 + 1 per lvl
+2 melee damage</t>
  </si>
  <si>
    <t>FLARE</t>
  </si>
  <si>
    <t>AEGIS SHIELD</t>
  </si>
  <si>
    <t>Dmg per Biotic Point Spent</t>
  </si>
  <si>
    <t xml:space="preserve">   Empowered Biotics</t>
  </si>
  <si>
    <t xml:space="preserve">   Detonation Master</t>
  </si>
  <si>
    <t>Faster Shield Recharge</t>
  </si>
  <si>
    <t xml:space="preserve">   Empowered Techs</t>
  </si>
  <si>
    <t xml:space="preserve">   Prolongued Techs</t>
  </si>
  <si>
    <t xml:space="preserve">   Stronger Tech Constructs</t>
  </si>
  <si>
    <t>MASS EFFECT D20 VEHICLE/SHIP RECORD SHEET</t>
  </si>
  <si>
    <t>VEHICLE TYPE</t>
  </si>
  <si>
    <t>Land</t>
  </si>
  <si>
    <t>VEHICLE CATEGORY (Land/Flying/Starship)</t>
  </si>
  <si>
    <t>PERSONALIZED NAME</t>
  </si>
  <si>
    <t>CREW REQUIRED</t>
  </si>
  <si>
    <t>CREW DETAIL</t>
  </si>
  <si>
    <t>Land (ft)</t>
  </si>
  <si>
    <t>miles/h</t>
  </si>
  <si>
    <t>Air Speed (ft)</t>
  </si>
  <si>
    <t>Sublight (AU/h)</t>
  </si>
  <si>
    <t>FTL (ly/h)</t>
  </si>
  <si>
    <t>Air Speed</t>
  </si>
  <si>
    <t>Sublight</t>
  </si>
  <si>
    <t>FTL</t>
  </si>
  <si>
    <t>FUEL CONSUMPTION</t>
  </si>
  <si>
    <t>RESERVE</t>
  </si>
  <si>
    <t>SIZE AND VITALITY</t>
  </si>
  <si>
    <t>Plating HP</t>
  </si>
  <si>
    <t>Size</t>
  </si>
  <si>
    <t>Plating HP DR</t>
  </si>
  <si>
    <t>Shield HP</t>
  </si>
  <si>
    <t>Regenerative abilities</t>
  </si>
  <si>
    <t>PURCHASE COST</t>
  </si>
  <si>
    <t>WEEKLY COST</t>
  </si>
  <si>
    <t>MONTHLY COST</t>
  </si>
  <si>
    <t>WEAPONS</t>
  </si>
  <si>
    <t>Heavy Weapon Check bonus</t>
  </si>
  <si>
    <t>PILOTING DC</t>
  </si>
  <si>
    <t>Basic piloting</t>
  </si>
  <si>
    <t>Advanced piloting</t>
  </si>
  <si>
    <t>Extreme piloting</t>
  </si>
  <si>
    <t>SHIP'S ROOMS</t>
  </si>
  <si>
    <t>ARMAMENT</t>
  </si>
  <si>
    <t>ARMOR AND SHIELDS</t>
  </si>
  <si>
    <t>SENSORS AND THRUSTERS</t>
  </si>
  <si>
    <t>SOFTWARE UPGRADES</t>
  </si>
  <si>
    <t>MAINFRAMES</t>
  </si>
  <si>
    <t>SOFTWARE SLOTS</t>
  </si>
  <si>
    <t>1d4+1</t>
  </si>
  <si>
    <t>2d4+2</t>
  </si>
  <si>
    <t>+1d4+1</t>
  </si>
  <si>
    <t>1d6+1</t>
  </si>
  <si>
    <t>2d6+2</t>
  </si>
  <si>
    <t>+1d6+1</t>
  </si>
  <si>
    <t>2d8/1d8</t>
  </si>
  <si>
    <t>3d8/1d8</t>
  </si>
  <si>
    <t>+1d8/+0</t>
  </si>
  <si>
    <t>+0/+1d8</t>
  </si>
  <si>
    <t>1d8+1</t>
  </si>
  <si>
    <t>2d8+2</t>
  </si>
  <si>
    <t>+1d8+1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</si>
</sst>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FFFFFF"/>
      <name val="Times New Roman"/>
      <family val="1"/>
    </font>
    <font>
      <sz val="6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</font>
    <font>
      <sz val="12"/>
      <color theme="0"/>
      <name val="Times New Roman"/>
      <family val="1"/>
    </font>
    <font>
      <sz val="7"/>
      <color theme="1"/>
      <name val="Times New Roman"/>
      <family val="1"/>
    </font>
    <font>
      <b/>
      <sz val="12"/>
      <name val="Times New Roman"/>
      <family val="1"/>
    </font>
    <font>
      <sz val="7"/>
      <color theme="1"/>
      <name val="Calibri"/>
      <family val="2"/>
      <scheme val="minor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0"/>
      <name val="Times New Roman"/>
      <family val="1"/>
    </font>
    <font>
      <i/>
      <sz val="11"/>
      <color theme="1"/>
      <name val="Times New Roman"/>
      <family val="1"/>
    </font>
    <font>
      <b/>
      <sz val="12"/>
      <color theme="0"/>
      <name val="Times New Roman"/>
      <family val="1"/>
    </font>
    <font>
      <sz val="11"/>
      <color theme="0"/>
      <name val="Calibri"/>
      <family val="2"/>
      <scheme val="minor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10"/>
      <color theme="0"/>
      <name val="Times New Roman"/>
      <family val="1"/>
    </font>
    <font>
      <sz val="11"/>
      <color rgb="FF92D050"/>
      <name val="Times New Roman"/>
      <family val="1"/>
    </font>
    <font>
      <b/>
      <sz val="11"/>
      <color rgb="FF92D050"/>
      <name val="Times New Roman"/>
      <family val="1"/>
    </font>
    <font>
      <b/>
      <sz val="11"/>
      <color theme="4"/>
      <name val="Times New Roman"/>
      <family val="1"/>
    </font>
    <font>
      <b/>
      <sz val="9"/>
      <color rgb="FF365F91"/>
      <name val="Times New Roman"/>
      <family val="1"/>
    </font>
    <font>
      <i/>
      <sz val="9"/>
      <color rgb="FF365F91"/>
      <name val="Times New Roman"/>
      <family val="1"/>
    </font>
    <font>
      <sz val="9"/>
      <color rgb="FF365F91"/>
      <name val="Times New Roman"/>
      <family val="1"/>
    </font>
    <font>
      <b/>
      <vertAlign val="superscript"/>
      <sz val="9"/>
      <color rgb="FF365F91"/>
      <name val="Times New Roman"/>
      <family val="1"/>
    </font>
    <font>
      <b/>
      <i/>
      <sz val="9"/>
      <color rgb="FF365F91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1"/>
      <color rgb="FF365F91"/>
      <name val="Times New Roman"/>
      <family val="1"/>
    </font>
    <font>
      <sz val="10"/>
      <color rgb="FFFFFFFF"/>
      <name val="Times New Roman"/>
      <family val="1"/>
    </font>
    <font>
      <b/>
      <sz val="16"/>
      <color theme="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theme="3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5">
    <xf numFmtId="0" fontId="0" fillId="0" borderId="0" xfId="0"/>
    <xf numFmtId="0" fontId="5" fillId="0" borderId="0" xfId="0" applyFont="1" applyAlignment="1">
      <alignment horizontal="center" vertical="top" wrapText="1"/>
    </xf>
    <xf numFmtId="0" fontId="7" fillId="0" borderId="0" xfId="0" applyFont="1"/>
    <xf numFmtId="0" fontId="9" fillId="6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9" fillId="0" borderId="0" xfId="0" applyFont="1"/>
    <xf numFmtId="0" fontId="9" fillId="0" borderId="2" xfId="0" applyFont="1" applyBorder="1"/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" fillId="7" borderId="2" xfId="0" applyFont="1" applyFill="1" applyBorder="1" applyAlignment="1">
      <alignment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vertical="center"/>
    </xf>
    <xf numFmtId="0" fontId="1" fillId="11" borderId="0" xfId="0" applyFont="1" applyFill="1" applyBorder="1" applyAlignment="1">
      <alignment horizontal="center" vertical="center"/>
    </xf>
    <xf numFmtId="0" fontId="1" fillId="11" borderId="0" xfId="0" applyFont="1" applyFill="1"/>
    <xf numFmtId="0" fontId="1" fillId="11" borderId="7" xfId="0" applyFont="1" applyFill="1" applyBorder="1" applyAlignment="1">
      <alignment vertical="center"/>
    </xf>
    <xf numFmtId="0" fontId="1" fillId="11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11" borderId="0" xfId="0" applyFont="1" applyFill="1"/>
    <xf numFmtId="0" fontId="0" fillId="11" borderId="0" xfId="0" applyFill="1"/>
    <xf numFmtId="0" fontId="0" fillId="11" borderId="0" xfId="0" applyFill="1" applyAlignment="1">
      <alignment vertical="center"/>
    </xf>
    <xf numFmtId="0" fontId="2" fillId="11" borderId="0" xfId="0" applyFont="1" applyFill="1" applyBorder="1" applyAlignment="1">
      <alignment wrapText="1"/>
    </xf>
    <xf numFmtId="0" fontId="9" fillId="11" borderId="0" xfId="0" applyFont="1" applyFill="1" applyAlignment="1">
      <alignment vertical="top" wrapText="1"/>
    </xf>
    <xf numFmtId="0" fontId="5" fillId="11" borderId="0" xfId="0" applyFont="1" applyFill="1" applyAlignment="1">
      <alignment vertical="top" wrapText="1"/>
    </xf>
    <xf numFmtId="0" fontId="5" fillId="11" borderId="0" xfId="0" applyFont="1" applyFill="1" applyAlignment="1">
      <alignment horizontal="center" vertical="center" wrapText="1"/>
    </xf>
    <xf numFmtId="0" fontId="9" fillId="11" borderId="0" xfId="0" applyFont="1" applyFill="1" applyAlignment="1">
      <alignment horizontal="center" vertical="center"/>
    </xf>
    <xf numFmtId="0" fontId="2" fillId="11" borderId="0" xfId="0" applyFont="1" applyFill="1" applyBorder="1" applyAlignment="1">
      <alignment vertical="top" wrapText="1"/>
    </xf>
    <xf numFmtId="0" fontId="9" fillId="11" borderId="0" xfId="0" applyFont="1" applyFill="1" applyAlignment="1">
      <alignment vertical="center"/>
    </xf>
    <xf numFmtId="0" fontId="9" fillId="11" borderId="0" xfId="0" applyFont="1" applyFill="1" applyAlignment="1">
      <alignment vertical="top"/>
    </xf>
    <xf numFmtId="0" fontId="1" fillId="11" borderId="0" xfId="0" applyFont="1" applyFill="1" applyAlignment="1">
      <alignment horizontal="right" vertical="center"/>
    </xf>
    <xf numFmtId="0" fontId="11" fillId="11" borderId="0" xfId="0" applyFont="1" applyFill="1" applyAlignment="1">
      <alignment horizontal="right" vertical="center"/>
    </xf>
    <xf numFmtId="0" fontId="11" fillId="11" borderId="0" xfId="0" applyFont="1" applyFill="1"/>
    <xf numFmtId="0" fontId="11" fillId="11" borderId="0" xfId="0" applyFont="1" applyFill="1" applyAlignment="1">
      <alignment vertical="center"/>
    </xf>
    <xf numFmtId="0" fontId="5" fillId="11" borderId="0" xfId="0" applyFont="1" applyFill="1" applyBorder="1" applyAlignment="1">
      <alignment vertical="top" wrapText="1"/>
    </xf>
    <xf numFmtId="0" fontId="5" fillId="11" borderId="0" xfId="0" applyFont="1" applyFill="1" applyBorder="1" applyAlignment="1">
      <alignment horizontal="center" vertical="top" wrapText="1"/>
    </xf>
    <xf numFmtId="0" fontId="5" fillId="11" borderId="0" xfId="0" applyFont="1" applyFill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9" fillId="11" borderId="0" xfId="0" applyFont="1" applyFill="1" applyAlignment="1">
      <alignment horizontal="center" vertical="top"/>
    </xf>
    <xf numFmtId="0" fontId="2" fillId="8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0" fontId="2" fillId="11" borderId="0" xfId="0" applyFont="1" applyFill="1"/>
    <xf numFmtId="0" fontId="1" fillId="8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0" fillId="11" borderId="0" xfId="0" applyFont="1" applyFill="1" applyAlignment="1">
      <alignment horizontal="right" vertical="center"/>
    </xf>
    <xf numFmtId="0" fontId="9" fillId="11" borderId="0" xfId="0" applyFont="1" applyFill="1" applyAlignment="1">
      <alignment horizontal="center" vertical="top" wrapText="1"/>
    </xf>
    <xf numFmtId="0" fontId="9" fillId="11" borderId="2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5" fillId="11" borderId="0" xfId="0" applyFont="1" applyFill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8" fillId="10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6" fillId="11" borderId="0" xfId="0" applyFont="1" applyFill="1" applyAlignment="1">
      <alignment horizontal="center" vertical="top" wrapText="1"/>
    </xf>
    <xf numFmtId="0" fontId="18" fillId="11" borderId="0" xfId="0" applyFont="1" applyFill="1" applyAlignment="1">
      <alignment vertical="top"/>
    </xf>
    <xf numFmtId="0" fontId="16" fillId="11" borderId="0" xfId="0" applyFont="1" applyFill="1" applyAlignment="1">
      <alignment vertical="top"/>
    </xf>
    <xf numFmtId="0" fontId="9" fillId="0" borderId="4" xfId="0" applyFont="1" applyBorder="1"/>
    <xf numFmtId="0" fontId="10" fillId="11" borderId="0" xfId="0" applyFont="1" applyFill="1" applyAlignment="1">
      <alignment horizontal="right" vertical="center"/>
    </xf>
    <xf numFmtId="0" fontId="16" fillId="11" borderId="0" xfId="0" applyFont="1" applyFill="1" applyAlignment="1">
      <alignment horizontal="center" wrapText="1"/>
    </xf>
    <xf numFmtId="0" fontId="16" fillId="11" borderId="0" xfId="0" applyFont="1" applyFill="1" applyAlignment="1">
      <alignment wrapText="1"/>
    </xf>
    <xf numFmtId="0" fontId="0" fillId="11" borderId="0" xfId="0" applyFill="1" applyAlignment="1">
      <alignment horizontal="center"/>
    </xf>
    <xf numFmtId="0" fontId="16" fillId="11" borderId="0" xfId="0" applyFont="1" applyFill="1" applyBorder="1" applyAlignment="1">
      <alignment horizontal="center" vertical="center" wrapText="1"/>
    </xf>
    <xf numFmtId="0" fontId="16" fillId="11" borderId="19" xfId="0" applyFont="1" applyFill="1" applyBorder="1" applyAlignment="1">
      <alignment horizontal="center" vertical="top" wrapText="1"/>
    </xf>
    <xf numFmtId="0" fontId="3" fillId="11" borderId="0" xfId="0" applyFont="1" applyFill="1" applyAlignment="1">
      <alignment horizontal="center" vertical="top" wrapText="1"/>
    </xf>
    <xf numFmtId="0" fontId="3" fillId="11" borderId="0" xfId="0" applyFont="1" applyFill="1"/>
    <xf numFmtId="0" fontId="9" fillId="11" borderId="2" xfId="0" applyFont="1" applyFill="1" applyBorder="1" applyAlignment="1">
      <alignment horizontal="center" vertical="center"/>
    </xf>
    <xf numFmtId="0" fontId="10" fillId="11" borderId="0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left" vertical="top" wrapText="1"/>
    </xf>
    <xf numFmtId="0" fontId="9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" fillId="11" borderId="0" xfId="0" applyFont="1" applyFill="1" applyAlignment="1">
      <alignment vertical="top" wrapText="1"/>
    </xf>
    <xf numFmtId="0" fontId="1" fillId="8" borderId="2" xfId="0" applyFont="1" applyFill="1" applyBorder="1" applyAlignment="1">
      <alignment horizontal="right" vertical="center"/>
    </xf>
    <xf numFmtId="0" fontId="1" fillId="8" borderId="10" xfId="0" applyFont="1" applyFill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/>
    </xf>
    <xf numFmtId="0" fontId="5" fillId="11" borderId="0" xfId="0" applyFont="1" applyFill="1" applyAlignment="1">
      <alignment horizontal="center" vertical="top" wrapText="1"/>
    </xf>
    <xf numFmtId="0" fontId="9" fillId="11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11" borderId="0" xfId="0" applyFont="1" applyFill="1" applyAlignment="1">
      <alignment vertical="center" wrapText="1"/>
    </xf>
    <xf numFmtId="0" fontId="9" fillId="4" borderId="11" xfId="0" applyFont="1" applyFill="1" applyBorder="1" applyAlignment="1">
      <alignment horizontal="center" vertical="center"/>
    </xf>
    <xf numFmtId="0" fontId="0" fillId="0" borderId="2" xfId="0" applyBorder="1"/>
    <xf numFmtId="0" fontId="13" fillId="0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top" wrapText="1"/>
    </xf>
    <xf numFmtId="0" fontId="16" fillId="11" borderId="0" xfId="0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center" vertical="top" wrapText="1"/>
    </xf>
    <xf numFmtId="0" fontId="24" fillId="11" borderId="0" xfId="0" applyFont="1" applyFill="1"/>
    <xf numFmtId="0" fontId="1" fillId="8" borderId="25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5" fillId="11" borderId="0" xfId="0" applyFont="1" applyFill="1" applyAlignment="1">
      <alignment horizontal="center" vertical="top" wrapText="1"/>
    </xf>
    <xf numFmtId="0" fontId="5" fillId="11" borderId="0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25" fillId="11" borderId="0" xfId="0" applyFont="1" applyFill="1" applyBorder="1" applyAlignment="1">
      <alignment horizontal="left" vertical="top" wrapText="1"/>
    </xf>
    <xf numFmtId="0" fontId="26" fillId="11" borderId="0" xfId="0" applyFont="1" applyFill="1"/>
    <xf numFmtId="0" fontId="26" fillId="11" borderId="0" xfId="0" applyFont="1" applyFill="1" applyAlignment="1">
      <alignment horizontal="right"/>
    </xf>
    <xf numFmtId="0" fontId="26" fillId="11" borderId="0" xfId="0" applyFont="1" applyFill="1" applyAlignment="1">
      <alignment horizontal="right" vertical="top" wrapText="1"/>
    </xf>
    <xf numFmtId="0" fontId="26" fillId="11" borderId="0" xfId="0" applyFont="1" applyFill="1" applyAlignment="1">
      <alignment horizontal="left"/>
    </xf>
    <xf numFmtId="0" fontId="5" fillId="11" borderId="0" xfId="0" applyFont="1" applyFill="1" applyAlignment="1">
      <alignment horizontal="center" vertical="top" wrapText="1"/>
    </xf>
    <xf numFmtId="0" fontId="2" fillId="0" borderId="0" xfId="0" applyFont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/>
    </xf>
    <xf numFmtId="0" fontId="5" fillId="11" borderId="0" xfId="0" applyFont="1" applyFill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top" wrapText="1"/>
    </xf>
    <xf numFmtId="0" fontId="5" fillId="11" borderId="0" xfId="0" applyFont="1" applyFill="1" applyBorder="1" applyAlignment="1">
      <alignment horizontal="center" vertical="top" wrapText="1"/>
    </xf>
    <xf numFmtId="0" fontId="16" fillId="11" borderId="0" xfId="0" applyFont="1" applyFill="1" applyAlignment="1">
      <alignment horizontal="center" vertical="top" wrapText="1"/>
    </xf>
    <xf numFmtId="0" fontId="9" fillId="4" borderId="11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top"/>
    </xf>
    <xf numFmtId="0" fontId="16" fillId="11" borderId="0" xfId="0" applyFont="1" applyFill="1" applyAlignment="1">
      <alignment horizontal="center"/>
    </xf>
    <xf numFmtId="0" fontId="16" fillId="11" borderId="0" xfId="0" applyFont="1" applyFill="1"/>
    <xf numFmtId="0" fontId="22" fillId="4" borderId="2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0" fontId="9" fillId="8" borderId="2" xfId="0" quotePrefix="1" applyFont="1" applyFill="1" applyBorder="1" applyAlignment="1">
      <alignment horizontal="center" vertical="center"/>
    </xf>
    <xf numFmtId="0" fontId="9" fillId="8" borderId="11" xfId="0" quotePrefix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2" xfId="0" quotePrefix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1" xfId="0" quotePrefix="1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11" borderId="0" xfId="0" applyFont="1" applyFill="1" applyAlignment="1">
      <alignment horizontal="center" vertical="top" wrapText="1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0" fontId="9" fillId="8" borderId="11" xfId="0" quotePrefix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1" xfId="0" quotePrefix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0" fontId="9" fillId="8" borderId="11" xfId="0" quotePrefix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1" xfId="0" quotePrefix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1" xfId="0" quotePrefix="1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11" borderId="0" xfId="0" applyFont="1" applyFill="1" applyAlignment="1">
      <alignment horizontal="right"/>
    </xf>
    <xf numFmtId="0" fontId="1" fillId="11" borderId="2" xfId="0" applyFont="1" applyFill="1" applyBorder="1"/>
    <xf numFmtId="0" fontId="9" fillId="4" borderId="1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11" borderId="0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28" fillId="11" borderId="0" xfId="0" applyFont="1" applyFill="1"/>
    <xf numFmtId="0" fontId="28" fillId="11" borderId="0" xfId="0" applyFont="1" applyFill="1" applyAlignment="1">
      <alignment horizontal="center"/>
    </xf>
    <xf numFmtId="0" fontId="29" fillId="11" borderId="0" xfId="0" applyFont="1" applyFill="1" applyBorder="1" applyAlignment="1">
      <alignment horizontal="center"/>
    </xf>
    <xf numFmtId="0" fontId="28" fillId="11" borderId="0" xfId="0" applyFont="1" applyFill="1" applyBorder="1" applyAlignment="1">
      <alignment horizontal="center"/>
    </xf>
    <xf numFmtId="0" fontId="29" fillId="11" borderId="0" xfId="0" applyFont="1" applyFill="1" applyBorder="1" applyAlignment="1">
      <alignment horizontal="center" wrapText="1"/>
    </xf>
    <xf numFmtId="0" fontId="28" fillId="0" borderId="0" xfId="0" applyFont="1"/>
    <xf numFmtId="0" fontId="28" fillId="0" borderId="0" xfId="0" applyFont="1" applyAlignment="1">
      <alignment horizontal="center"/>
    </xf>
    <xf numFmtId="0" fontId="29" fillId="11" borderId="0" xfId="0" applyFont="1" applyFill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8" fillId="11" borderId="0" xfId="0" applyFont="1" applyFill="1" applyAlignment="1">
      <alignment horizontal="left"/>
    </xf>
    <xf numFmtId="0" fontId="13" fillId="11" borderId="0" xfId="0" applyFont="1" applyFill="1"/>
    <xf numFmtId="0" fontId="9" fillId="0" borderId="2" xfId="0" applyFont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30" fillId="11" borderId="0" xfId="0" applyFont="1" applyFill="1"/>
    <xf numFmtId="0" fontId="20" fillId="11" borderId="0" xfId="0" applyFont="1" applyFill="1"/>
    <xf numFmtId="0" fontId="20" fillId="11" borderId="0" xfId="0" applyFont="1" applyFill="1" applyAlignment="1">
      <alignment wrapText="1"/>
    </xf>
    <xf numFmtId="0" fontId="9" fillId="0" borderId="0" xfId="0" applyFont="1" applyAlignment="1">
      <alignment horizontal="left"/>
    </xf>
    <xf numFmtId="0" fontId="20" fillId="11" borderId="0" xfId="0" applyFont="1" applyFill="1" applyAlignment="1">
      <alignment horizontal="left"/>
    </xf>
    <xf numFmtId="0" fontId="9" fillId="11" borderId="0" xfId="0" applyFont="1" applyFill="1" applyAlignment="1">
      <alignment horizontal="left"/>
    </xf>
    <xf numFmtId="9" fontId="9" fillId="11" borderId="0" xfId="0" applyNumberFormat="1" applyFont="1" applyFill="1" applyAlignment="1">
      <alignment horizontal="left"/>
    </xf>
    <xf numFmtId="0" fontId="9" fillId="11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8" borderId="11" xfId="0" quotePrefix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9" fontId="9" fillId="8" borderId="11" xfId="0" applyNumberFormat="1" applyFont="1" applyFill="1" applyBorder="1" applyAlignment="1">
      <alignment horizontal="center" vertical="center"/>
    </xf>
    <xf numFmtId="9" fontId="9" fillId="8" borderId="2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8" borderId="2" xfId="0" quotePrefix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2" xfId="0" quotePrefix="1" applyFont="1" applyFill="1" applyBorder="1" applyAlignment="1">
      <alignment horizontal="center" vertical="center"/>
    </xf>
    <xf numFmtId="0" fontId="32" fillId="15" borderId="0" xfId="0" applyFont="1" applyFill="1" applyAlignment="1">
      <alignment horizontal="left" vertical="top" wrapText="1"/>
    </xf>
    <xf numFmtId="0" fontId="33" fillId="15" borderId="0" xfId="0" applyFont="1" applyFill="1" applyAlignment="1">
      <alignment horizontal="left" vertical="top" wrapText="1"/>
    </xf>
    <xf numFmtId="3" fontId="33" fillId="15" borderId="0" xfId="0" applyNumberFormat="1" applyFont="1" applyFill="1" applyAlignment="1">
      <alignment horizontal="center" vertical="top" wrapText="1"/>
    </xf>
    <xf numFmtId="0" fontId="33" fillId="0" borderId="0" xfId="0" applyFont="1" applyAlignment="1">
      <alignment horizontal="justify" vertical="top" wrapText="1"/>
    </xf>
    <xf numFmtId="0" fontId="32" fillId="0" borderId="0" xfId="0" applyFont="1" applyAlignment="1">
      <alignment horizontal="left" vertical="top" wrapText="1"/>
    </xf>
    <xf numFmtId="0" fontId="33" fillId="15" borderId="0" xfId="0" applyFont="1" applyFill="1" applyAlignment="1">
      <alignment horizontal="justify" vertical="top" wrapText="1"/>
    </xf>
    <xf numFmtId="0" fontId="9" fillId="8" borderId="2" xfId="0" applyFont="1" applyFill="1" applyBorder="1" applyAlignment="1">
      <alignment horizontal="center" vertical="center"/>
    </xf>
    <xf numFmtId="0" fontId="9" fillId="8" borderId="2" xfId="0" quotePrefix="1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8" borderId="11" xfId="0" quotePrefix="1" applyFont="1" applyFill="1" applyBorder="1" applyAlignment="1">
      <alignment horizontal="center" vertical="center"/>
    </xf>
    <xf numFmtId="0" fontId="9" fillId="8" borderId="2" xfId="0" quotePrefix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9" fillId="8" borderId="2" xfId="0" applyNumberFormat="1" applyFont="1" applyFill="1" applyBorder="1" applyAlignment="1">
      <alignment horizontal="center" vertical="center"/>
    </xf>
    <xf numFmtId="0" fontId="9" fillId="8" borderId="2" xfId="0" quotePrefix="1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33" fillId="0" borderId="28" xfId="0" applyFont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center" wrapText="1"/>
    </xf>
    <xf numFmtId="0" fontId="33" fillId="15" borderId="0" xfId="0" applyFont="1" applyFill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33" fillId="0" borderId="0" xfId="0" applyFont="1" applyAlignment="1">
      <alignment horizontal="left" vertical="top" wrapText="1"/>
    </xf>
    <xf numFmtId="3" fontId="33" fillId="0" borderId="0" xfId="0" applyNumberFormat="1" applyFont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left" vertical="top" wrapText="1"/>
    </xf>
    <xf numFmtId="0" fontId="35" fillId="15" borderId="0" xfId="0" applyFont="1" applyFill="1" applyAlignment="1">
      <alignment horizontal="justify" vertical="top" wrapText="1"/>
    </xf>
    <xf numFmtId="0" fontId="32" fillId="0" borderId="0" xfId="0" applyFont="1" applyAlignment="1">
      <alignment horizontal="left" vertical="top" wrapText="1" indent="1"/>
    </xf>
    <xf numFmtId="0" fontId="32" fillId="15" borderId="0" xfId="0" applyFont="1" applyFill="1" applyAlignment="1">
      <alignment horizontal="left" vertical="top" wrapText="1" indent="1"/>
    </xf>
    <xf numFmtId="0" fontId="35" fillId="0" borderId="0" xfId="0" applyFont="1" applyAlignment="1">
      <alignment horizontal="justify" vertical="top" wrapText="1"/>
    </xf>
    <xf numFmtId="0" fontId="32" fillId="0" borderId="0" xfId="0" applyFont="1" applyAlignment="1">
      <alignment horizontal="justify" vertical="top" wrapText="1"/>
    </xf>
    <xf numFmtId="0" fontId="32" fillId="15" borderId="0" xfId="0" applyFont="1" applyFill="1" applyAlignment="1">
      <alignment horizontal="justify" vertical="top" wrapText="1"/>
    </xf>
    <xf numFmtId="0" fontId="35" fillId="0" borderId="0" xfId="0" applyFont="1" applyAlignment="1">
      <alignment horizontal="left" vertical="top" wrapText="1" indent="1"/>
    </xf>
    <xf numFmtId="0" fontId="35" fillId="15" borderId="0" xfId="0" applyFont="1" applyFill="1" applyAlignment="1">
      <alignment horizontal="left" vertical="top" wrapText="1" indent="1"/>
    </xf>
    <xf numFmtId="0" fontId="32" fillId="0" borderId="28" xfId="0" applyFont="1" applyBorder="1" applyAlignment="1">
      <alignment horizontal="justify" vertical="top" wrapText="1"/>
    </xf>
    <xf numFmtId="0" fontId="32" fillId="0" borderId="28" xfId="0" applyFont="1" applyBorder="1" applyAlignment="1">
      <alignment horizontal="left" vertical="top" wrapText="1"/>
    </xf>
    <xf numFmtId="0" fontId="1" fillId="8" borderId="2" xfId="0" applyFont="1" applyFill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left" vertical="top" wrapText="1"/>
    </xf>
    <xf numFmtId="3" fontId="33" fillId="0" borderId="28" xfId="0" applyNumberFormat="1" applyFont="1" applyBorder="1" applyAlignment="1">
      <alignment horizontal="center" vertical="top" wrapText="1"/>
    </xf>
    <xf numFmtId="0" fontId="35" fillId="15" borderId="0" xfId="0" applyFont="1" applyFill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9" fillId="11" borderId="4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6" fillId="11" borderId="0" xfId="0" applyFont="1" applyFill="1"/>
    <xf numFmtId="0" fontId="37" fillId="11" borderId="0" xfId="0" applyFont="1" applyFill="1"/>
    <xf numFmtId="0" fontId="1" fillId="0" borderId="10" xfId="0" applyFont="1" applyBorder="1" applyAlignment="1">
      <alignment vertical="center"/>
    </xf>
    <xf numFmtId="0" fontId="1" fillId="16" borderId="11" xfId="0" applyFont="1" applyFill="1" applyBorder="1" applyAlignment="1">
      <alignment horizontal="center" vertical="center"/>
    </xf>
    <xf numFmtId="0" fontId="9" fillId="16" borderId="2" xfId="0" applyFont="1" applyFill="1" applyBorder="1"/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8" borderId="2" xfId="0" quotePrefix="1" applyFont="1" applyFill="1" applyBorder="1" applyAlignment="1">
      <alignment horizontal="center" vertical="center"/>
    </xf>
    <xf numFmtId="0" fontId="1" fillId="11" borderId="2" xfId="0" applyFont="1" applyFill="1" applyBorder="1" applyAlignment="1"/>
    <xf numFmtId="0" fontId="1" fillId="11" borderId="2" xfId="0" applyFont="1" applyFill="1" applyBorder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28" fillId="11" borderId="2" xfId="0" applyFont="1" applyFill="1" applyBorder="1" applyAlignment="1">
      <alignment horizontal="left"/>
    </xf>
    <xf numFmtId="0" fontId="9" fillId="8" borderId="2" xfId="0" applyFont="1" applyFill="1" applyBorder="1" applyAlignment="1">
      <alignment horizontal="center" vertical="center"/>
    </xf>
    <xf numFmtId="0" fontId="9" fillId="8" borderId="2" xfId="0" quotePrefix="1" applyFont="1" applyFill="1" applyBorder="1" applyAlignment="1">
      <alignment horizontal="center" vertical="center"/>
    </xf>
    <xf numFmtId="0" fontId="29" fillId="0" borderId="28" xfId="0" applyFont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6" fillId="11" borderId="0" xfId="0" applyFont="1" applyFill="1" applyAlignment="1">
      <alignment horizontal="center" vertical="top" wrapText="1"/>
    </xf>
    <xf numFmtId="0" fontId="9" fillId="4" borderId="1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28" fillId="11" borderId="0" xfId="0" applyFont="1" applyFill="1" applyAlignment="1">
      <alignment horizontal="center" vertical="center"/>
    </xf>
    <xf numFmtId="0" fontId="9" fillId="11" borderId="2" xfId="0" applyFont="1" applyFill="1" applyBorder="1"/>
    <xf numFmtId="0" fontId="9" fillId="9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0" fontId="9" fillId="8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38" fillId="11" borderId="0" xfId="0" applyFont="1" applyFill="1"/>
    <xf numFmtId="0" fontId="9" fillId="8" borderId="2" xfId="0" applyFont="1" applyFill="1" applyBorder="1" applyAlignment="1">
      <alignment horizontal="center" vertical="center"/>
    </xf>
    <xf numFmtId="0" fontId="28" fillId="11" borderId="0" xfId="0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/>
    </xf>
    <xf numFmtId="0" fontId="39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/>
    </xf>
    <xf numFmtId="0" fontId="40" fillId="0" borderId="0" xfId="0" quotePrefix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 vertical="top"/>
    </xf>
    <xf numFmtId="0" fontId="40" fillId="0" borderId="0" xfId="0" applyFont="1" applyFill="1" applyBorder="1" applyAlignment="1">
      <alignment horizontal="center" vertical="top" wrapText="1"/>
    </xf>
    <xf numFmtId="0" fontId="40" fillId="0" borderId="0" xfId="0" quotePrefix="1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8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41" fillId="11" borderId="0" xfId="0" applyFont="1" applyFill="1" applyAlignment="1">
      <alignment horizontal="center" vertical="center"/>
    </xf>
    <xf numFmtId="0" fontId="39" fillId="15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left" vertical="top" wrapText="1"/>
    </xf>
    <xf numFmtId="0" fontId="33" fillId="11" borderId="0" xfId="0" applyFont="1" applyFill="1" applyBorder="1" applyAlignment="1">
      <alignment horizontal="center" vertical="top" wrapText="1"/>
    </xf>
    <xf numFmtId="0" fontId="33" fillId="11" borderId="0" xfId="0" applyFont="1" applyFill="1" applyBorder="1" applyAlignment="1">
      <alignment horizontal="left" vertical="top" wrapText="1"/>
    </xf>
    <xf numFmtId="3" fontId="33" fillId="11" borderId="0" xfId="0" applyNumberFormat="1" applyFont="1" applyFill="1" applyBorder="1" applyAlignment="1">
      <alignment horizontal="center" vertical="top" wrapText="1"/>
    </xf>
    <xf numFmtId="0" fontId="36" fillId="11" borderId="2" xfId="0" applyFont="1" applyFill="1" applyBorder="1"/>
    <xf numFmtId="0" fontId="33" fillId="11" borderId="0" xfId="0" applyFont="1" applyFill="1" applyBorder="1" applyAlignment="1">
      <alignment horizontal="center" vertical="center" wrapText="1"/>
    </xf>
    <xf numFmtId="0" fontId="33" fillId="11" borderId="2" xfId="0" applyFont="1" applyFill="1" applyBorder="1" applyAlignment="1">
      <alignment vertical="center" wrapText="1"/>
    </xf>
    <xf numFmtId="0" fontId="33" fillId="11" borderId="2" xfId="0" applyFont="1" applyFill="1" applyBorder="1" applyAlignment="1">
      <alignment horizontal="center" vertical="center" wrapText="1"/>
    </xf>
    <xf numFmtId="0" fontId="33" fillId="11" borderId="2" xfId="0" applyFont="1" applyFill="1" applyBorder="1" applyAlignment="1">
      <alignment horizontal="left" vertical="center" wrapText="1"/>
    </xf>
    <xf numFmtId="3" fontId="33" fillId="11" borderId="2" xfId="0" applyNumberFormat="1" applyFont="1" applyFill="1" applyBorder="1" applyAlignment="1">
      <alignment horizontal="center" vertical="center" wrapText="1"/>
    </xf>
    <xf numFmtId="0" fontId="33" fillId="11" borderId="2" xfId="0" applyFont="1" applyFill="1" applyBorder="1" applyAlignment="1">
      <alignment horizontal="center" vertical="center"/>
    </xf>
    <xf numFmtId="3" fontId="33" fillId="11" borderId="3" xfId="0" applyNumberFormat="1" applyFont="1" applyFill="1" applyBorder="1" applyAlignment="1">
      <alignment horizontal="center" vertical="center" wrapText="1"/>
    </xf>
    <xf numFmtId="0" fontId="33" fillId="11" borderId="3" xfId="0" applyFont="1" applyFill="1" applyBorder="1" applyAlignment="1">
      <alignment horizontal="center" vertical="center" wrapText="1"/>
    </xf>
    <xf numFmtId="0" fontId="33" fillId="11" borderId="3" xfId="0" applyFont="1" applyFill="1" applyBorder="1" applyAlignment="1">
      <alignment horizontal="center" vertical="center"/>
    </xf>
    <xf numFmtId="0" fontId="32" fillId="11" borderId="0" xfId="0" applyFont="1" applyFill="1" applyBorder="1" applyAlignment="1">
      <alignment horizontal="left" vertical="center" wrapText="1"/>
    </xf>
    <xf numFmtId="0" fontId="33" fillId="11" borderId="0" xfId="0" applyFont="1" applyFill="1" applyBorder="1" applyAlignment="1">
      <alignment horizontal="left" vertical="center" wrapText="1"/>
    </xf>
    <xf numFmtId="0" fontId="33" fillId="11" borderId="2" xfId="0" quotePrefix="1" applyFont="1" applyFill="1" applyBorder="1" applyAlignment="1">
      <alignment horizontal="center" vertical="center" wrapText="1"/>
    </xf>
    <xf numFmtId="0" fontId="33" fillId="11" borderId="3" xfId="0" quotePrefix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11" borderId="0" xfId="0" applyFont="1" applyFill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 wrapText="1"/>
    </xf>
    <xf numFmtId="0" fontId="9" fillId="8" borderId="11" xfId="0" quotePrefix="1" applyFont="1" applyFill="1" applyBorder="1" applyAlignment="1">
      <alignment horizontal="center" vertical="center"/>
    </xf>
    <xf numFmtId="0" fontId="9" fillId="8" borderId="2" xfId="0" quotePrefix="1" applyFont="1" applyFill="1" applyBorder="1" applyAlignment="1">
      <alignment horizontal="center" vertical="center"/>
    </xf>
    <xf numFmtId="0" fontId="9" fillId="8" borderId="2" xfId="0" quotePrefix="1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vertical="top" wrapText="1"/>
    </xf>
    <xf numFmtId="0" fontId="9" fillId="0" borderId="11" xfId="0" applyFont="1" applyBorder="1" applyAlignment="1">
      <alignment vertical="center"/>
    </xf>
    <xf numFmtId="0" fontId="1" fillId="5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2" xfId="0" quotePrefix="1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1" fillId="0" borderId="0" xfId="0" applyFont="1"/>
    <xf numFmtId="0" fontId="1" fillId="6" borderId="2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/>
    <xf numFmtId="0" fontId="9" fillId="8" borderId="11" xfId="0" quotePrefix="1" applyFont="1" applyFill="1" applyBorder="1" applyAlignment="1">
      <alignment horizontal="center" vertical="center"/>
    </xf>
    <xf numFmtId="0" fontId="9" fillId="8" borderId="2" xfId="0" quotePrefix="1" applyFont="1" applyFill="1" applyBorder="1" applyAlignment="1">
      <alignment horizontal="center" vertical="center"/>
    </xf>
    <xf numFmtId="0" fontId="9" fillId="8" borderId="11" xfId="0" quotePrefix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6" fillId="11" borderId="8" xfId="0" applyFont="1" applyFill="1" applyBorder="1" applyAlignment="1">
      <alignment horizontal="center" vertical="top" wrapText="1"/>
    </xf>
    <xf numFmtId="0" fontId="42" fillId="11" borderId="33" xfId="0" applyFont="1" applyFill="1" applyBorder="1" applyAlignment="1">
      <alignment horizontal="center" wrapText="1"/>
    </xf>
    <xf numFmtId="0" fontId="42" fillId="11" borderId="34" xfId="0" applyFont="1" applyFill="1" applyBorder="1" applyAlignment="1">
      <alignment horizontal="center" wrapText="1"/>
    </xf>
    <xf numFmtId="0" fontId="42" fillId="11" borderId="37" xfId="0" applyFont="1" applyFill="1" applyBorder="1" applyAlignment="1">
      <alignment horizontal="center" wrapText="1"/>
    </xf>
    <xf numFmtId="0" fontId="42" fillId="11" borderId="38" xfId="0" applyFont="1" applyFill="1" applyBorder="1" applyAlignment="1">
      <alignment horizontal="center" wrapText="1"/>
    </xf>
    <xf numFmtId="0" fontId="29" fillId="0" borderId="0" xfId="0" applyFont="1" applyAlignment="1">
      <alignment horizontal="left" vertical="top" wrapText="1"/>
    </xf>
    <xf numFmtId="0" fontId="29" fillId="11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 wrapText="1"/>
    </xf>
    <xf numFmtId="0" fontId="39" fillId="0" borderId="27" xfId="0" applyFont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2" fillId="11" borderId="31" xfId="0" applyFont="1" applyFill="1" applyBorder="1" applyAlignment="1">
      <alignment horizontal="center" wrapText="1"/>
    </xf>
    <xf numFmtId="0" fontId="42" fillId="11" borderId="32" xfId="0" applyFont="1" applyFill="1" applyBorder="1" applyAlignment="1">
      <alignment horizontal="center" wrapText="1"/>
    </xf>
    <xf numFmtId="0" fontId="42" fillId="11" borderId="35" xfId="0" applyFont="1" applyFill="1" applyBorder="1" applyAlignment="1">
      <alignment horizontal="center" wrapText="1"/>
    </xf>
    <xf numFmtId="0" fontId="42" fillId="11" borderId="36" xfId="0" applyFont="1" applyFill="1" applyBorder="1" applyAlignment="1">
      <alignment horizontal="center" wrapText="1"/>
    </xf>
    <xf numFmtId="0" fontId="1" fillId="11" borderId="11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28" fillId="11" borderId="0" xfId="0" applyFont="1" applyFill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9" fillId="10" borderId="11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5" fillId="10" borderId="2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top" wrapText="1"/>
    </xf>
    <xf numFmtId="0" fontId="19" fillId="10" borderId="9" xfId="0" applyFont="1" applyFill="1" applyBorder="1" applyAlignment="1">
      <alignment horizontal="center" vertical="center" wrapText="1"/>
    </xf>
    <xf numFmtId="0" fontId="19" fillId="10" borderId="8" xfId="0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 vertical="center" wrapText="1"/>
    </xf>
    <xf numFmtId="0" fontId="19" fillId="10" borderId="12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19" fillId="10" borderId="21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top" wrapText="1"/>
    </xf>
    <xf numFmtId="0" fontId="9" fillId="11" borderId="2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top" wrapText="1"/>
    </xf>
    <xf numFmtId="0" fontId="20" fillId="5" borderId="2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top" wrapText="1"/>
    </xf>
    <xf numFmtId="0" fontId="5" fillId="11" borderId="0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/>
    </xf>
    <xf numFmtId="0" fontId="9" fillId="11" borderId="22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/>
    </xf>
    <xf numFmtId="0" fontId="9" fillId="11" borderId="10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top" wrapText="1"/>
    </xf>
    <xf numFmtId="0" fontId="9" fillId="11" borderId="11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6" fillId="11" borderId="8" xfId="0" applyFont="1" applyFill="1" applyBorder="1" applyAlignment="1">
      <alignment horizontal="center" vertical="top"/>
    </xf>
    <xf numFmtId="0" fontId="8" fillId="10" borderId="4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top"/>
    </xf>
    <xf numFmtId="0" fontId="9" fillId="8" borderId="4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11" borderId="0" xfId="0" applyFont="1" applyFill="1" applyAlignment="1">
      <alignment horizontal="left" vertical="top" wrapText="1"/>
    </xf>
    <xf numFmtId="0" fontId="5" fillId="11" borderId="0" xfId="0" applyFont="1" applyFill="1" applyBorder="1" applyAlignment="1">
      <alignment horizontal="left" vertical="top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top" wrapText="1"/>
    </xf>
    <xf numFmtId="0" fontId="9" fillId="11" borderId="8" xfId="0" applyFont="1" applyFill="1" applyBorder="1" applyAlignment="1">
      <alignment horizontal="center" vertical="top" wrapText="1"/>
    </xf>
    <xf numFmtId="0" fontId="9" fillId="11" borderId="20" xfId="0" applyFont="1" applyFill="1" applyBorder="1" applyAlignment="1">
      <alignment horizontal="center" vertical="top" wrapText="1"/>
    </xf>
    <xf numFmtId="0" fontId="9" fillId="11" borderId="12" xfId="0" applyFont="1" applyFill="1" applyBorder="1" applyAlignment="1">
      <alignment horizontal="center" vertical="top" wrapText="1"/>
    </xf>
    <xf numFmtId="0" fontId="9" fillId="11" borderId="6" xfId="0" applyFont="1" applyFill="1" applyBorder="1" applyAlignment="1">
      <alignment horizontal="center" vertical="top" wrapText="1"/>
    </xf>
    <xf numFmtId="0" fontId="9" fillId="11" borderId="21" xfId="0" applyFont="1" applyFill="1" applyBorder="1" applyAlignment="1">
      <alignment horizontal="center" vertical="top" wrapText="1"/>
    </xf>
    <xf numFmtId="0" fontId="8" fillId="10" borderId="9" xfId="0" applyFont="1" applyFill="1" applyBorder="1" applyAlignment="1">
      <alignment horizontal="center" vertical="center" wrapText="1"/>
    </xf>
    <xf numFmtId="0" fontId="8" fillId="10" borderId="20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10" borderId="21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 vertical="top" wrapText="1"/>
    </xf>
    <xf numFmtId="0" fontId="16" fillId="11" borderId="13" xfId="0" applyFont="1" applyFill="1" applyBorder="1" applyAlignment="1">
      <alignment horizontal="center" vertical="top" wrapText="1"/>
    </xf>
    <xf numFmtId="0" fontId="9" fillId="11" borderId="11" xfId="0" applyFont="1" applyFill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top" wrapText="1"/>
    </xf>
    <xf numFmtId="0" fontId="1" fillId="5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left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top" wrapText="1"/>
    </xf>
    <xf numFmtId="0" fontId="33" fillId="15" borderId="0" xfId="0" applyFont="1" applyFill="1" applyAlignment="1">
      <alignment horizontal="center" vertical="top" wrapText="1"/>
    </xf>
    <xf numFmtId="0" fontId="9" fillId="5" borderId="4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7" fillId="1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top" wrapText="1"/>
    </xf>
    <xf numFmtId="0" fontId="39" fillId="0" borderId="29" xfId="0" applyFont="1" applyFill="1" applyBorder="1" applyAlignment="1">
      <alignment horizontal="center" vertical="top" wrapText="1"/>
    </xf>
    <xf numFmtId="0" fontId="39" fillId="0" borderId="30" xfId="0" applyFont="1" applyFill="1" applyBorder="1" applyAlignment="1">
      <alignment horizontal="center" vertical="top" wrapText="1"/>
    </xf>
    <xf numFmtId="0" fontId="9" fillId="11" borderId="0" xfId="0" applyFont="1" applyFill="1" applyAlignment="1">
      <alignment horizontal="left" vertical="center"/>
    </xf>
    <xf numFmtId="0" fontId="3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/>
    </xf>
    <xf numFmtId="0" fontId="0" fillId="0" borderId="10" xfId="0" applyBorder="1"/>
    <xf numFmtId="0" fontId="16" fillId="11" borderId="0" xfId="0" applyFont="1" applyFill="1" applyAlignment="1">
      <alignment horizontal="center" wrapText="1"/>
    </xf>
    <xf numFmtId="0" fontId="16" fillId="11" borderId="0" xfId="0" applyFont="1" applyFill="1" applyBorder="1" applyAlignment="1">
      <alignment horizontal="center" wrapText="1"/>
    </xf>
    <xf numFmtId="0" fontId="16" fillId="11" borderId="6" xfId="0" applyFont="1" applyFill="1" applyBorder="1" applyAlignment="1">
      <alignment horizontal="center" wrapText="1"/>
    </xf>
    <xf numFmtId="0" fontId="2" fillId="8" borderId="1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right" vertical="center"/>
    </xf>
    <xf numFmtId="0" fontId="10" fillId="11" borderId="22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top" wrapText="1"/>
    </xf>
    <xf numFmtId="0" fontId="2" fillId="8" borderId="11" xfId="0" applyFont="1" applyFill="1" applyBorder="1" applyAlignment="1">
      <alignment horizontal="center" wrapText="1"/>
    </xf>
    <xf numFmtId="0" fontId="2" fillId="8" borderId="10" xfId="0" applyFont="1" applyFill="1" applyBorder="1" applyAlignment="1">
      <alignment horizontal="center" wrapText="1"/>
    </xf>
    <xf numFmtId="0" fontId="9" fillId="11" borderId="9" xfId="0" applyFont="1" applyFill="1" applyBorder="1" applyAlignment="1">
      <alignment horizontal="center" vertical="center" wrapText="1"/>
    </xf>
    <xf numFmtId="0" fontId="9" fillId="11" borderId="8" xfId="0" applyFont="1" applyFill="1" applyBorder="1" applyAlignment="1">
      <alignment horizontal="center" vertical="center" wrapText="1"/>
    </xf>
    <xf numFmtId="0" fontId="9" fillId="11" borderId="20" xfId="0" applyFont="1" applyFill="1" applyBorder="1" applyAlignment="1">
      <alignment horizontal="center" vertical="center" wrapText="1"/>
    </xf>
    <xf numFmtId="0" fontId="9" fillId="11" borderId="12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11" borderId="21" xfId="0" applyFont="1" applyFill="1" applyBorder="1" applyAlignment="1">
      <alignment horizontal="center" vertical="center" wrapText="1"/>
    </xf>
    <xf numFmtId="0" fontId="26" fillId="11" borderId="8" xfId="0" applyFont="1" applyFill="1" applyBorder="1" applyAlignment="1">
      <alignment horizontal="center" vertical="center"/>
    </xf>
    <xf numFmtId="0" fontId="26" fillId="11" borderId="0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left" vertical="center"/>
    </xf>
    <xf numFmtId="0" fontId="1" fillId="11" borderId="13" xfId="0" applyFont="1" applyFill="1" applyBorder="1" applyAlignment="1">
      <alignment horizontal="left" vertical="center"/>
    </xf>
    <xf numFmtId="0" fontId="1" fillId="11" borderId="10" xfId="0" applyFont="1" applyFill="1" applyBorder="1" applyAlignment="1">
      <alignment horizontal="left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1" fillId="7" borderId="13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11" borderId="11" xfId="0" quotePrefix="1" applyFont="1" applyFill="1" applyBorder="1" applyAlignment="1">
      <alignment horizontal="left" vertical="center"/>
    </xf>
    <xf numFmtId="0" fontId="6" fillId="12" borderId="3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left" vertical="center"/>
    </xf>
    <xf numFmtId="0" fontId="9" fillId="11" borderId="8" xfId="0" applyFont="1" applyFill="1" applyBorder="1" applyAlignment="1">
      <alignment horizontal="left" vertical="center"/>
    </xf>
    <xf numFmtId="0" fontId="9" fillId="11" borderId="20" xfId="0" applyFont="1" applyFill="1" applyBorder="1" applyAlignment="1">
      <alignment horizontal="left" vertical="center"/>
    </xf>
    <xf numFmtId="0" fontId="9" fillId="11" borderId="12" xfId="0" applyFont="1" applyFill="1" applyBorder="1" applyAlignment="1">
      <alignment horizontal="left" vertical="center"/>
    </xf>
    <xf numFmtId="0" fontId="9" fillId="11" borderId="6" xfId="0" applyFont="1" applyFill="1" applyBorder="1" applyAlignment="1">
      <alignment horizontal="left" vertical="center"/>
    </xf>
    <xf numFmtId="0" fontId="9" fillId="11" borderId="21" xfId="0" applyFont="1" applyFill="1" applyBorder="1" applyAlignment="1">
      <alignment horizontal="left" vertical="center"/>
    </xf>
    <xf numFmtId="0" fontId="9" fillId="11" borderId="2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21" fillId="10" borderId="9" xfId="0" applyFont="1" applyFill="1" applyBorder="1" applyAlignment="1">
      <alignment horizontal="center" vertical="center" wrapText="1"/>
    </xf>
    <xf numFmtId="0" fontId="21" fillId="10" borderId="20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 wrapText="1"/>
    </xf>
    <xf numFmtId="0" fontId="21" fillId="10" borderId="21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21" fillId="10" borderId="2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9" fillId="8" borderId="10" xfId="0" quotePrefix="1" applyFont="1" applyFill="1" applyBorder="1" applyAlignment="1">
      <alignment horizontal="center" vertical="center"/>
    </xf>
    <xf numFmtId="0" fontId="9" fillId="8" borderId="11" xfId="0" quotePrefix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left" vertical="center" wrapText="1"/>
    </xf>
    <xf numFmtId="0" fontId="22" fillId="4" borderId="11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9" fillId="8" borderId="11" xfId="0" quotePrefix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8" borderId="2" xfId="0" quotePrefix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3" xfId="0" quotePrefix="1" applyFont="1" applyFill="1" applyBorder="1" applyAlignment="1">
      <alignment horizontal="center" vertical="center"/>
    </xf>
    <xf numFmtId="0" fontId="9" fillId="8" borderId="4" xfId="0" quotePrefix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8" borderId="9" xfId="0" quotePrefix="1" applyFont="1" applyFill="1" applyBorder="1" applyAlignment="1">
      <alignment horizontal="center" vertical="center"/>
    </xf>
    <xf numFmtId="0" fontId="9" fillId="8" borderId="20" xfId="0" quotePrefix="1" applyFont="1" applyFill="1" applyBorder="1" applyAlignment="1">
      <alignment horizontal="center" vertical="center"/>
    </xf>
    <xf numFmtId="0" fontId="9" fillId="8" borderId="12" xfId="0" quotePrefix="1" applyFont="1" applyFill="1" applyBorder="1" applyAlignment="1">
      <alignment horizontal="center" vertical="center"/>
    </xf>
    <xf numFmtId="0" fontId="9" fillId="8" borderId="21" xfId="0" quotePrefix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top" wrapText="1"/>
    </xf>
    <xf numFmtId="0" fontId="1" fillId="11" borderId="2" xfId="0" applyFont="1" applyFill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top" wrapText="1"/>
    </xf>
    <xf numFmtId="0" fontId="43" fillId="2" borderId="13" xfId="0" applyFont="1" applyFill="1" applyBorder="1" applyAlignment="1">
      <alignment horizontal="center" vertical="top" wrapText="1"/>
    </xf>
    <xf numFmtId="0" fontId="43" fillId="2" borderId="10" xfId="0" applyFont="1" applyFill="1" applyBorder="1" applyAlignment="1">
      <alignment horizontal="center" vertical="top" wrapText="1"/>
    </xf>
    <xf numFmtId="0" fontId="11" fillId="6" borderId="11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4" fillId="10" borderId="2" xfId="0" applyFont="1" applyFill="1" applyBorder="1" applyAlignment="1">
      <alignment horizontal="center" vertical="center"/>
    </xf>
  </cellXfs>
  <cellStyles count="1">
    <cellStyle name="Normal" xfId="0" builtinId="0"/>
  </cellStyles>
  <dxfs count="7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L935"/>
  <sheetViews>
    <sheetView tabSelected="1" zoomScale="90" zoomScaleNormal="90" workbookViewId="0">
      <selection activeCell="Z23" sqref="Z23:AA23"/>
    </sheetView>
  </sheetViews>
  <sheetFormatPr defaultRowHeight="15" x14ac:dyDescent="0.25"/>
  <cols>
    <col min="1" max="2" width="10.42578125" customWidth="1"/>
    <col min="3" max="3" width="2.28515625" bestFit="1" customWidth="1"/>
    <col min="4" max="4" width="7.85546875" customWidth="1"/>
    <col min="5" max="5" width="2.28515625" bestFit="1" customWidth="1"/>
    <col min="6" max="6" width="7.85546875" customWidth="1"/>
    <col min="7" max="7" width="2.28515625" bestFit="1" customWidth="1"/>
    <col min="8" max="8" width="11.5703125" customWidth="1"/>
    <col min="9" max="9" width="2.28515625" bestFit="1" customWidth="1"/>
    <col min="10" max="10" width="10.140625" customWidth="1"/>
    <col min="11" max="11" width="2.28515625" bestFit="1" customWidth="1"/>
    <col min="12" max="12" width="7" customWidth="1"/>
    <col min="13" max="13" width="2.140625" customWidth="1"/>
    <col min="14" max="14" width="7.140625" customWidth="1"/>
    <col min="15" max="15" width="1.7109375" customWidth="1"/>
    <col min="16" max="16" width="9.7109375" customWidth="1"/>
    <col min="17" max="17" width="1.85546875" customWidth="1"/>
    <col min="18" max="18" width="7.140625" customWidth="1"/>
    <col min="19" max="19" width="2.42578125" customWidth="1"/>
    <col min="20" max="20" width="10" customWidth="1"/>
    <col min="21" max="21" width="2.28515625" customWidth="1"/>
    <col min="22" max="22" width="12.140625" customWidth="1"/>
    <col min="23" max="23" width="3" customWidth="1"/>
    <col min="24" max="25" width="12.28515625" customWidth="1"/>
    <col min="26" max="26" width="3.7109375" customWidth="1"/>
    <col min="27" max="27" width="9" customWidth="1"/>
    <col min="28" max="28" width="12.85546875" customWidth="1"/>
    <col min="29" max="29" width="11.7109375" customWidth="1"/>
    <col min="30" max="30" width="13" customWidth="1"/>
    <col min="31" max="31" width="13.28515625" customWidth="1"/>
    <col min="32" max="32" width="14.5703125" customWidth="1"/>
    <col min="33" max="33" width="9.85546875" style="8" customWidth="1"/>
    <col min="34" max="34" width="25.28515625" style="8" hidden="1" customWidth="1"/>
    <col min="35" max="35" width="11.42578125" style="8" hidden="1" customWidth="1"/>
    <col min="36" max="36" width="9.140625" style="8" hidden="1" customWidth="1"/>
    <col min="37" max="37" width="11.140625" style="8" hidden="1" customWidth="1"/>
    <col min="38" max="38" width="14.28515625" style="8" hidden="1" customWidth="1"/>
    <col min="39" max="39" width="24" style="8" hidden="1" customWidth="1"/>
    <col min="40" max="40" width="14.28515625" style="8" hidden="1" customWidth="1"/>
    <col min="41" max="41" width="16.85546875" style="8" hidden="1" customWidth="1"/>
    <col min="42" max="44" width="14.28515625" style="8" hidden="1" customWidth="1"/>
    <col min="45" max="45" width="11.7109375" style="8" hidden="1" customWidth="1"/>
    <col min="46" max="46" width="26" style="8" hidden="1" customWidth="1"/>
    <col min="47" max="47" width="15.140625" style="8" hidden="1" customWidth="1"/>
    <col min="48" max="49" width="16.42578125" style="8" hidden="1" customWidth="1"/>
    <col min="50" max="50" width="12" style="8" hidden="1" customWidth="1"/>
    <col min="51" max="51" width="11.7109375" style="8" hidden="1" customWidth="1"/>
    <col min="52" max="52" width="18" style="8" hidden="1" customWidth="1"/>
    <col min="53" max="54" width="11.140625" style="8" hidden="1" customWidth="1"/>
    <col min="55" max="56" width="9.140625" style="8" hidden="1" customWidth="1"/>
    <col min="57" max="57" width="12" style="8" hidden="1" customWidth="1"/>
    <col min="58" max="60" width="9.140625" style="8" hidden="1" customWidth="1"/>
    <col min="61" max="61" width="15.28515625" style="17" hidden="1" customWidth="1"/>
    <col min="62" max="62" width="26.140625" style="17" hidden="1" customWidth="1"/>
    <col min="63" max="63" width="29.42578125" style="17" hidden="1" customWidth="1"/>
    <col min="64" max="64" width="32.85546875" style="17" hidden="1" customWidth="1"/>
    <col min="65" max="65" width="20.85546875" style="17" hidden="1" customWidth="1"/>
    <col min="66" max="66" width="18.42578125" style="8" hidden="1" customWidth="1"/>
    <col min="67" max="67" width="14.7109375" style="8" hidden="1" customWidth="1"/>
    <col min="68" max="68" width="9.7109375" style="8" hidden="1" customWidth="1"/>
    <col min="69" max="70" width="9.140625" style="238" hidden="1" customWidth="1"/>
    <col min="71" max="71" width="11.42578125" style="239" hidden="1" customWidth="1"/>
    <col min="72" max="75" width="12.42578125" style="238" hidden="1" customWidth="1"/>
    <col min="76" max="78" width="12.42578125" style="8" hidden="1" customWidth="1"/>
    <col min="79" max="79" width="18.7109375" style="396" hidden="1" customWidth="1"/>
    <col min="80" max="80" width="9.140625" style="393" hidden="1" customWidth="1"/>
    <col min="81" max="81" width="35" style="393" hidden="1" customWidth="1"/>
    <col min="82" max="82" width="29.85546875" style="393" hidden="1" customWidth="1"/>
    <col min="83" max="83" width="31.5703125" style="393" hidden="1" customWidth="1"/>
    <col min="84" max="84" width="32.5703125" style="393" hidden="1" customWidth="1"/>
    <col min="85" max="85" width="9.140625" style="8" hidden="1" customWidth="1"/>
    <col min="86" max="86" width="13" style="8" hidden="1" customWidth="1"/>
    <col min="87" max="89" width="11.5703125" style="8" hidden="1" customWidth="1"/>
    <col min="90" max="91" width="9.140625" style="8" hidden="1" customWidth="1"/>
    <col min="92" max="96" width="25.42578125" style="8" hidden="1" customWidth="1"/>
    <col min="97" max="103" width="9.140625" style="8" hidden="1" customWidth="1"/>
    <col min="104" max="104" width="16" style="8" hidden="1" customWidth="1"/>
    <col min="105" max="105" width="11.140625" style="8" hidden="1" customWidth="1"/>
    <col min="106" max="106" width="13.5703125" style="8" hidden="1" customWidth="1"/>
    <col min="107" max="107" width="13.28515625" style="8" hidden="1" customWidth="1"/>
    <col min="108" max="108" width="11.5703125" style="8" hidden="1" customWidth="1"/>
    <col min="109" max="112" width="9.140625" style="8" hidden="1" customWidth="1"/>
    <col min="113" max="113" width="13.42578125" style="8" hidden="1" customWidth="1"/>
    <col min="114" max="114" width="12.7109375" style="8" hidden="1" customWidth="1"/>
    <col min="115" max="115" width="11.5703125" style="8" hidden="1" customWidth="1"/>
    <col min="116" max="116" width="8.28515625" style="8" hidden="1" customWidth="1"/>
    <col min="117" max="117" width="11.7109375" style="8" hidden="1" customWidth="1"/>
    <col min="118" max="118" width="10.85546875" style="8" hidden="1" customWidth="1"/>
    <col min="119" max="120" width="13.85546875" style="8" hidden="1" customWidth="1"/>
    <col min="121" max="122" width="9.140625" style="8" hidden="1" customWidth="1"/>
    <col min="123" max="123" width="21.140625" style="8" hidden="1" customWidth="1"/>
    <col min="124" max="124" width="9.140625" style="8" hidden="1" customWidth="1"/>
    <col min="125" max="125" width="12" style="8" hidden="1" customWidth="1"/>
    <col min="126" max="126" width="9.140625" style="8" hidden="1" customWidth="1"/>
    <col min="127" max="127" width="24.28515625" style="8" hidden="1" customWidth="1"/>
    <col min="128" max="128" width="29.28515625" style="8" hidden="1" customWidth="1"/>
    <col min="129" max="129" width="28.140625" style="8" hidden="1" customWidth="1"/>
    <col min="130" max="130" width="84.140625" style="8" hidden="1" customWidth="1"/>
    <col min="131" max="131" width="9.140625" style="8" hidden="1" customWidth="1"/>
    <col min="132" max="132" width="19.140625" style="8" hidden="1" customWidth="1"/>
    <col min="133" max="135" width="12.28515625" style="431" hidden="1" customWidth="1"/>
    <col min="136" max="136" width="11.85546875" style="431" hidden="1" customWidth="1"/>
    <col min="137" max="137" width="12.28515625" style="431" hidden="1" customWidth="1"/>
    <col min="138" max="142" width="9.140625" style="440" hidden="1" customWidth="1"/>
    <col min="143" max="151" width="9.140625" style="8" hidden="1" customWidth="1"/>
    <col min="152" max="156" width="9.140625" customWidth="1"/>
  </cols>
  <sheetData>
    <row r="1" spans="1:168" ht="15.75" customHeight="1" thickBot="1" x14ac:dyDescent="0.3">
      <c r="A1" s="63" t="s">
        <v>141</v>
      </c>
      <c r="B1" s="534"/>
      <c r="C1" s="569"/>
      <c r="D1" s="569"/>
      <c r="E1" s="569"/>
      <c r="F1" s="569"/>
      <c r="G1" s="569"/>
      <c r="H1" s="569"/>
      <c r="I1" s="569"/>
      <c r="J1" s="569"/>
      <c r="K1" s="569"/>
      <c r="L1" s="535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 t="s">
        <v>1552</v>
      </c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375" t="s">
        <v>1552</v>
      </c>
      <c r="AU1" s="490" t="s">
        <v>467</v>
      </c>
      <c r="AV1" s="490"/>
      <c r="AW1" s="490" t="s">
        <v>1544</v>
      </c>
      <c r="AX1" s="490"/>
      <c r="AY1" s="375"/>
      <c r="AZ1" s="490" t="s">
        <v>1112</v>
      </c>
      <c r="BA1" s="490"/>
      <c r="BB1" s="375"/>
      <c r="BC1" s="491" t="s">
        <v>794</v>
      </c>
      <c r="BD1" s="375"/>
      <c r="BE1" s="490" t="s">
        <v>1001</v>
      </c>
      <c r="BF1" s="490"/>
      <c r="BG1" s="233"/>
      <c r="BH1" s="233"/>
      <c r="BI1" s="409"/>
      <c r="BJ1" s="409"/>
      <c r="BK1" s="409"/>
      <c r="BL1" s="409"/>
      <c r="BM1" s="409"/>
      <c r="BN1" s="243"/>
      <c r="BO1" s="233"/>
      <c r="BP1" s="233"/>
      <c r="BQ1" s="233"/>
      <c r="BR1" s="233"/>
      <c r="BS1" s="234"/>
      <c r="BT1" s="233"/>
      <c r="BU1" s="233"/>
      <c r="BV1" s="233"/>
      <c r="BW1" s="233"/>
      <c r="BX1" s="233"/>
      <c r="BY1" s="233"/>
      <c r="BZ1" s="233"/>
      <c r="CG1" s="233"/>
      <c r="CH1" s="233"/>
      <c r="CI1" s="233"/>
      <c r="CJ1" s="233"/>
      <c r="CK1" s="233"/>
      <c r="CL1" s="233"/>
      <c r="CM1" s="233"/>
      <c r="CN1" s="233"/>
      <c r="CO1" s="233"/>
      <c r="CP1" s="233"/>
      <c r="CQ1" s="233"/>
      <c r="CR1" s="233"/>
      <c r="CS1" s="233"/>
      <c r="CT1" s="233"/>
      <c r="CU1" s="233"/>
      <c r="CV1" s="233"/>
      <c r="CW1" s="233"/>
      <c r="CX1" s="233"/>
      <c r="CY1" s="233"/>
      <c r="CZ1" s="233"/>
      <c r="DA1" s="233"/>
      <c r="DB1" s="233"/>
      <c r="DC1" s="233"/>
      <c r="DD1" s="233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409"/>
      <c r="ED1" s="409"/>
      <c r="EE1" s="409"/>
      <c r="EF1" s="409"/>
      <c r="EG1" s="409"/>
      <c r="EH1" s="97"/>
      <c r="EI1" s="97"/>
      <c r="EJ1" s="97"/>
      <c r="EK1" s="97"/>
      <c r="EL1" s="97"/>
      <c r="EM1" s="29"/>
      <c r="EN1" s="29"/>
      <c r="EO1" s="29"/>
      <c r="EP1" s="29"/>
      <c r="EQ1" s="29"/>
      <c r="ER1" s="29"/>
      <c r="ES1" s="29"/>
      <c r="ET1" s="29"/>
      <c r="EU1" s="29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</row>
    <row r="2" spans="1:168" ht="15.95" customHeight="1" thickBot="1" x14ac:dyDescent="0.3">
      <c r="A2" s="18" t="s">
        <v>37</v>
      </c>
      <c r="B2" s="556"/>
      <c r="C2" s="557"/>
      <c r="D2" s="558"/>
      <c r="E2" s="8"/>
      <c r="F2" s="554" t="s">
        <v>67</v>
      </c>
      <c r="G2" s="554"/>
      <c r="H2" s="68"/>
      <c r="I2" s="8"/>
      <c r="J2" s="554" t="s">
        <v>68</v>
      </c>
      <c r="K2" s="554"/>
      <c r="L2" s="64"/>
      <c r="M2" s="8"/>
      <c r="N2" s="555" t="s">
        <v>69</v>
      </c>
      <c r="O2" s="555"/>
      <c r="P2" s="9"/>
      <c r="Q2" s="8"/>
      <c r="R2" s="555" t="s">
        <v>70</v>
      </c>
      <c r="S2" s="555"/>
      <c r="T2" s="9"/>
      <c r="U2" s="30"/>
      <c r="V2" s="102" t="s">
        <v>39</v>
      </c>
      <c r="W2" s="634">
        <f>IF(B2="Fine","1/2 ft",IF(B2="Diminutive","1 ft",IF(B2="Tiny","2,5 ft",IF(B2="Small","5 ft",IF(B2="Medium","5 ft",IF(B2="Large","10 ft",IF(B2="Huge","15 ft",IF(B2="Gargantuan","20 ft",IF(B2="Colossal","30 ft",0)))))))))</f>
        <v>0</v>
      </c>
      <c r="X2" s="635"/>
      <c r="Y2" s="29"/>
      <c r="Z2" s="29"/>
      <c r="AA2" s="29"/>
      <c r="AB2" s="628" t="s">
        <v>788</v>
      </c>
      <c r="AC2" s="628"/>
      <c r="AD2" s="628"/>
      <c r="AE2" s="627" t="str">
        <f>Equipment!B40</f>
        <v>Light</v>
      </c>
      <c r="AF2" s="627"/>
      <c r="AG2" s="29"/>
      <c r="AH2" s="29" t="s">
        <v>1537</v>
      </c>
      <c r="AI2" s="29"/>
      <c r="AJ2" s="29"/>
      <c r="AK2" s="29"/>
      <c r="AL2" s="29"/>
      <c r="AM2" s="29" t="s">
        <v>1562</v>
      </c>
      <c r="AN2" s="29"/>
      <c r="AO2" s="29"/>
      <c r="AP2" s="29"/>
      <c r="AQ2" s="29"/>
      <c r="AR2" s="29"/>
      <c r="AS2" s="29"/>
      <c r="AT2" s="364" t="s">
        <v>890</v>
      </c>
      <c r="AU2" s="364" t="s">
        <v>1207</v>
      </c>
      <c r="AV2" s="364" t="s">
        <v>167</v>
      </c>
      <c r="AW2" s="364" t="s">
        <v>1547</v>
      </c>
      <c r="AX2" s="364" t="s">
        <v>1548</v>
      </c>
      <c r="AY2" s="364" t="s">
        <v>1002</v>
      </c>
      <c r="AZ2" s="364" t="s">
        <v>1549</v>
      </c>
      <c r="BA2" s="364" t="s">
        <v>1550</v>
      </c>
      <c r="BB2" s="364" t="s">
        <v>190</v>
      </c>
      <c r="BC2" s="492"/>
      <c r="BD2" s="364" t="s">
        <v>692</v>
      </c>
      <c r="BE2" s="364" t="s">
        <v>1207</v>
      </c>
      <c r="BF2" s="364" t="s">
        <v>167</v>
      </c>
      <c r="BG2" s="233"/>
      <c r="BH2" s="243"/>
      <c r="BI2" s="481" t="s">
        <v>874</v>
      </c>
      <c r="BJ2" s="481"/>
      <c r="BK2" s="481"/>
      <c r="BL2" s="481"/>
      <c r="BM2" s="481"/>
      <c r="BN2" s="243"/>
      <c r="BO2" s="243"/>
      <c r="BP2" s="243"/>
      <c r="BQ2" s="243"/>
      <c r="BR2" s="243"/>
      <c r="BS2" s="392"/>
      <c r="BT2" s="243"/>
      <c r="BU2" s="243"/>
      <c r="BV2" s="243"/>
      <c r="BW2" s="243"/>
      <c r="BX2" s="243"/>
      <c r="BY2" s="243"/>
      <c r="BZ2" s="233"/>
      <c r="CG2" s="233"/>
      <c r="CH2" s="410" t="s">
        <v>1562</v>
      </c>
      <c r="CI2" s="233">
        <f>IF(C42=$AH$1,1,IF(C42=$AH$2,2,IF(C42=$AH$3,3,IF(C42=$AH$4,4,IF(C42=$AH$5,5,0)))))</f>
        <v>0</v>
      </c>
      <c r="CJ2" s="233"/>
      <c r="CK2" s="29" t="s">
        <v>1552</v>
      </c>
      <c r="CL2" s="233">
        <v>1</v>
      </c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476" t="s">
        <v>1148</v>
      </c>
      <c r="DT2" s="474" t="s">
        <v>1149</v>
      </c>
      <c r="DU2" s="484" t="s">
        <v>572</v>
      </c>
      <c r="DV2" s="474" t="s">
        <v>1150</v>
      </c>
      <c r="DW2" s="484" t="s">
        <v>1151</v>
      </c>
      <c r="DX2" s="474" t="s">
        <v>1152</v>
      </c>
      <c r="DY2" s="474" t="s">
        <v>771</v>
      </c>
      <c r="DZ2" s="486" t="s">
        <v>1076</v>
      </c>
      <c r="EA2" s="29"/>
      <c r="EB2" s="29"/>
      <c r="EC2" s="409"/>
      <c r="ED2" s="409"/>
      <c r="EE2" s="409"/>
      <c r="EF2" s="409"/>
      <c r="EG2" s="409"/>
      <c r="EH2" s="97"/>
      <c r="EI2" s="482" t="s">
        <v>1275</v>
      </c>
      <c r="EJ2" s="482" t="s">
        <v>1276</v>
      </c>
      <c r="EK2" s="482" t="s">
        <v>1277</v>
      </c>
      <c r="EL2" s="482" t="s">
        <v>904</v>
      </c>
      <c r="EM2" s="29"/>
      <c r="EN2" s="29"/>
      <c r="EO2" s="29"/>
      <c r="EP2" s="29"/>
      <c r="EQ2" s="29"/>
      <c r="ER2" s="29"/>
      <c r="ES2" s="29"/>
      <c r="ET2" s="29"/>
      <c r="EU2" s="29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</row>
    <row r="3" spans="1:168" ht="15.95" customHeight="1" thickBot="1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108" t="s">
        <v>166</v>
      </c>
      <c r="U3" s="30"/>
      <c r="V3" s="29"/>
      <c r="W3" s="502"/>
      <c r="X3" s="502"/>
      <c r="Y3" s="29"/>
      <c r="Z3" s="29"/>
      <c r="AA3" s="29"/>
      <c r="AB3" s="29"/>
      <c r="AC3" s="29"/>
      <c r="AD3" s="29"/>
      <c r="AE3" s="29"/>
      <c r="AF3" s="29"/>
      <c r="AG3" s="29"/>
      <c r="AH3" s="29" t="s">
        <v>1534</v>
      </c>
      <c r="AI3" s="29"/>
      <c r="AJ3" s="29"/>
      <c r="AK3" s="29"/>
      <c r="AL3" s="29">
        <v>1</v>
      </c>
      <c r="AM3" s="376" t="str">
        <f t="shared" ref="AM3:AM12" si="0">IF($C$42=$AH$1,AT3,IF($C$42=$AH$2,AT34,IF($C$42=$AH$3,AT68,IF($C$42=$AH$4,AT99,IF($C$42=$AH$5,AT130,IF($C$42=$AH$6,AT161,IF($C$42=$AH$7,"Ranged Touch"," ")))))))</f>
        <v xml:space="preserve"> </v>
      </c>
      <c r="AN3" s="29"/>
      <c r="AO3" s="387" t="s">
        <v>1562</v>
      </c>
      <c r="AP3" s="29"/>
      <c r="AQ3" s="29"/>
      <c r="AR3" s="29"/>
      <c r="AS3" s="29">
        <v>1</v>
      </c>
      <c r="AT3" s="375" t="s">
        <v>852</v>
      </c>
      <c r="AU3" s="375" t="s">
        <v>796</v>
      </c>
      <c r="AV3" s="375" t="s">
        <v>797</v>
      </c>
      <c r="AW3" s="375">
        <v>20</v>
      </c>
      <c r="AX3" s="375">
        <v>3</v>
      </c>
      <c r="AY3" s="375">
        <v>8</v>
      </c>
      <c r="AZ3" s="375" t="s">
        <v>1551</v>
      </c>
      <c r="BA3" s="375">
        <v>1</v>
      </c>
      <c r="BB3" s="375">
        <v>-3</v>
      </c>
      <c r="BC3" s="375">
        <v>3</v>
      </c>
      <c r="BD3" s="375">
        <v>30</v>
      </c>
      <c r="BE3" s="375">
        <f>IF(BF3&lt;=4,BF3-1,IF(OR(BF3=5,BF3=6,BF3=6.5),BF3-1.5,IF(OR(BF3=7,BF3=8),BF3-2,IF(OR(BF3=9,BF3=10),BF3-2.5,IF(OR(BF3=11,BF3=12,BF3=13),BF3-3,IF(OR(BF3=14,BF3=15,BF3=16),BF3-4,IF(OR(BF3=17,BF3=18),BF3-5,IF(BF3&gt;=19,BF3-6,0))))))))</f>
        <v>2</v>
      </c>
      <c r="BF3" s="375">
        <v>3</v>
      </c>
      <c r="BG3" s="233"/>
      <c r="BH3" s="243"/>
      <c r="BI3" s="410" t="s">
        <v>1562</v>
      </c>
      <c r="BJ3" s="411" t="s">
        <v>876</v>
      </c>
      <c r="BK3" s="411" t="s">
        <v>877</v>
      </c>
      <c r="BL3" s="411" t="s">
        <v>878</v>
      </c>
      <c r="BM3" s="411" t="s">
        <v>879</v>
      </c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233"/>
      <c r="CG3" s="233"/>
      <c r="CH3" s="410" t="s">
        <v>1563</v>
      </c>
      <c r="CI3" s="233">
        <f>IF(C54=$AH$1,1,IF(C54=$AH$2,2,IF(C54=$AH$3,3,IF(C54=$AH$4,4,IF(C54=$AH$5,5,0)))))</f>
        <v>0</v>
      </c>
      <c r="CJ3" s="233"/>
      <c r="CK3" s="29" t="s">
        <v>1537</v>
      </c>
      <c r="CL3" s="233">
        <v>2</v>
      </c>
      <c r="CM3" s="233"/>
      <c r="CN3" s="233"/>
      <c r="CO3" s="233"/>
      <c r="CP3" s="233"/>
      <c r="CQ3" s="233"/>
      <c r="CR3" s="233"/>
      <c r="CS3" s="233"/>
      <c r="CT3" s="233"/>
      <c r="CU3" s="233"/>
      <c r="CV3" s="233"/>
      <c r="CW3" s="233"/>
      <c r="CX3" s="233"/>
      <c r="CY3" s="233"/>
      <c r="CZ3" s="233"/>
      <c r="DA3" s="233"/>
      <c r="DB3" s="233"/>
      <c r="DC3" s="233"/>
      <c r="DD3" s="233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477"/>
      <c r="DT3" s="475"/>
      <c r="DU3" s="485"/>
      <c r="DV3" s="475"/>
      <c r="DW3" s="485"/>
      <c r="DX3" s="475"/>
      <c r="DY3" s="475"/>
      <c r="DZ3" s="487"/>
      <c r="EA3" s="29"/>
      <c r="EB3" s="29"/>
      <c r="EC3" s="409"/>
      <c r="ED3" s="409"/>
      <c r="EE3" s="409"/>
      <c r="EF3" s="409"/>
      <c r="EG3" s="409"/>
      <c r="EH3" s="97" t="s">
        <v>1274</v>
      </c>
      <c r="EI3" s="482"/>
      <c r="EJ3" s="482"/>
      <c r="EK3" s="482"/>
      <c r="EL3" s="482"/>
      <c r="EM3" s="29"/>
      <c r="EN3" s="29"/>
      <c r="EO3" s="29"/>
      <c r="EP3" s="29"/>
      <c r="EQ3" s="29"/>
      <c r="ER3" s="29"/>
      <c r="ES3" s="29"/>
      <c r="ET3" s="29"/>
      <c r="EU3" s="29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</row>
    <row r="4" spans="1:168" ht="15.95" customHeight="1" thickBot="1" x14ac:dyDescent="0.3">
      <c r="A4" s="559" t="s">
        <v>0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29"/>
      <c r="P4" s="497" t="s">
        <v>44</v>
      </c>
      <c r="Q4" s="497"/>
      <c r="R4" s="497"/>
      <c r="S4" s="497"/>
      <c r="T4" s="497"/>
      <c r="U4" s="497"/>
      <c r="V4" s="497"/>
      <c r="W4" s="30"/>
      <c r="X4" s="503" t="s">
        <v>259</v>
      </c>
      <c r="Y4" s="504"/>
      <c r="Z4" s="504"/>
      <c r="AA4" s="505"/>
      <c r="AB4" s="629"/>
      <c r="AC4" s="29"/>
      <c r="AD4" s="503" t="s">
        <v>260</v>
      </c>
      <c r="AE4" s="505"/>
      <c r="AF4" s="629"/>
      <c r="AG4" s="29"/>
      <c r="AH4" s="29" t="s">
        <v>1535</v>
      </c>
      <c r="AI4" s="29"/>
      <c r="AJ4" s="29"/>
      <c r="AK4" s="29"/>
      <c r="AL4" s="29">
        <v>2</v>
      </c>
      <c r="AM4" s="376" t="str">
        <f t="shared" si="0"/>
        <v xml:space="preserve"> </v>
      </c>
      <c r="AN4" s="29"/>
      <c r="AO4" s="29"/>
      <c r="AP4" s="29"/>
      <c r="AQ4" s="29"/>
      <c r="AR4" s="29"/>
      <c r="AS4" s="29">
        <v>2</v>
      </c>
      <c r="AT4" s="375" t="s">
        <v>853</v>
      </c>
      <c r="AU4" s="375" t="s">
        <v>1545</v>
      </c>
      <c r="AV4" s="375" t="s">
        <v>1546</v>
      </c>
      <c r="AW4" s="375">
        <v>20</v>
      </c>
      <c r="AX4" s="375">
        <v>2</v>
      </c>
      <c r="AY4" s="375">
        <v>11</v>
      </c>
      <c r="AZ4" s="375" t="s">
        <v>1551</v>
      </c>
      <c r="BA4" s="375">
        <v>2</v>
      </c>
      <c r="BB4" s="375">
        <v>-2</v>
      </c>
      <c r="BC4" s="375">
        <v>18</v>
      </c>
      <c r="BD4" s="375">
        <v>30</v>
      </c>
      <c r="BE4" s="375">
        <f t="shared" ref="BE4:BE14" si="1">IF(BF4&lt;=4,BF4-1,IF(OR(BF4=5,BF4=6,BF4=6.5),BF4-1.5,IF(OR(BF4=7,BF4=8),BF4-2,IF(OR(BF4=9,BF4=10),BF4-2.5,IF(OR(BF4=11,BF4=12,BF4=13),BF4-3,IF(OR(BF4=14,BF4=15,BF4=16),BF4-4,IF(OR(BF4=17,BF4=18),BF4-5,IF(BF4&gt;=19,BF4-6,0))))))))</f>
        <v>6</v>
      </c>
      <c r="BF4" s="375">
        <v>8</v>
      </c>
      <c r="BG4" s="233"/>
      <c r="BH4" s="243"/>
      <c r="BI4" s="409" t="s">
        <v>1552</v>
      </c>
      <c r="BJ4" s="383">
        <f>IF(AND($C$42=$AH$1,OR($L$42=$BJ$3,$L$42=$BK$3,$L$42=$BL$3,$L$42=$BM$3),$G$42=$CA$7),CC7,IF(AND($C$42=$AH$1,OR($L$42=$BJ$3,$L$42=$BK$3,$L$42=$BL$3,$L$42=$BM$3),$G$42=$CA$9),CC9,IF(AND($C$42=$AH$1,OR($L$42=$BJ$3,$L$42=$BK$3,$L$42=$BL$3,$L$42=$BM$3),$G$42=$CA$10),CC10,IF(AND($C$42=$AH$1,OR($L$42=$BJ$3,$L$42=$BK$3,$L$42=$BL$3,$L$42=$BM$3),$G$42=$CA$11),CC11,IF(AND($C$42=$AH$1,OR($L$42=$BJ$3,$L$42=$BK$3,$L$42=$BL$3,$L$42=$BM$3),$G$42=$CA$12),CC12,IF(AND($C$42=$AH$1,OR($L$42=$BJ$3,$L$42=$BK$3,$L$42=$BL$3,$L$42=$BM$3),$G$42=$CA$13),CC13,IF(AND($C$42=$AH$1,OR($L$42=$BJ$3,$L$42=$BK$3,$L$42=$BL$3,$L$42=$BM$3),$G$42=$CA$14),CC14,IF(AND($C$42=$AH$1,OR($L$42=$BJ$3,$L$42=$BK$3,$L$42=$BL$3,$L$42=$BM$3),$G$42=$CA$15),CC15,IF(AND($C$42=$AH$1,OR($L$42=$BJ$3,$L$42=$BK$3,$L$42=$BL$3,$L$42=$BM$3),$G$42=$CA$16),CC16,IF(AND($C$42=$AH$1,OR($L$42=$BJ$3,$L$42=$BK$3,$L$42=$BL$3,$L$42=$BM$3),$G$42=$CA$17),CC17,IF(AND($C$42=$AH$1,OR($L$42=$BJ$3,$L$42=$BK$3,$L$42=$BL$3,$L$42=$BM$3),$G$42=$CA$18),CC18,IF(AND($C$42=$AH$1,OR($L$42=$BJ$3,$L$42=$BK$3,$L$42=$BL$3,$L$42=$BM$3),$G$42=$CA$19),CC19,IF(AND($C$42=$AH$1,OR($L$42=$BJ$3,$L$42=$BK$3,$L$42=$BL$3,$L$42=$BM$3),$G$42=$CA$20),CC20,0)))))))))))))</f>
        <v>0</v>
      </c>
      <c r="BK4" s="383">
        <f>IF(AND($C$42=$AH$1,OR($L$42=$BK$3,$L$42=$BL$3,$L$42=$BM$3),$G$42=$CA$7),CD7,IF(AND($C$42=$AH$1,OR($L$42=$BK$3,$L$42=$BL$3,$L$42=$BM$3),$G$42=$CA$9),CD9,IF(AND($C$42=$AH$1,OR($L$42=$BK$3,$L$42=$BL$3,$L$42=$BM$3),$G$42=$CA$10),CD10,IF(AND($C$42=$AH$1,OR($L$42=$BK$3,$L$42=$BL$3,$L$42=$BM$3),$G$42=$CA$11),CD11,IF(AND($C$42=$AH$1,OR($L$42=$BK$3,$L$42=$BL$3,$L$42=$BM$3),$G$42=$CA$12),CD12,IF(AND($C$42=$AH$1,OR($L$42=$BK$3,$L$42=$BL$3,$L$42=$BM$3),$G$42=$CA$13),CD13,IF(AND($C$42=$AH$1,OR($L$42=$BK$3,$L$42=$BL$3,$L$42=$BM$3),$G$42=$CA$14),CD14,IF(AND($C$42=$AH$1,OR($L$42=$BK$3,$L$42=$BL$3,$L$42=$BM$3),$G$42=$CA$15),CD15,IF(AND($C$42=$AH$1,OR($L$42=$BK$3,$L$42=$BL$3,$L$42=$BM$3),$G$42=$CA$16),CD16,IF(AND($C$42=$AH$1,OR($L$42=$BK$3,$L$42=$BL$3,$L$42=$BM$3),$G$42=$CA$17),CD17,IF(AND($C$42=$AH$1,OR($L$42=$BK$3,$L$42=$BL$3,$L$42=$BM$3),$G$42=$CA$18),CD18,IF(AND($C$42=$AH$1,OR($L$42=$BK$3,$L$42=$BL$3,$L$42=$BM$3),$G$42=$CA$19),CD19,IF(AND($C$42=$AH$1,OR($L$42=$BK$3,$L$42=$BL$3,$L$42=$BM$3),$G$42=$CA$20),CD20,0)))))))))))))</f>
        <v>0</v>
      </c>
      <c r="BL4" s="383">
        <f>IF(AND($C$42=$AH$1,OR($L$42=$BL$3,$L$42=$BM$3),$G$42=$CA$7),CE7,IF(AND($C$42=$AH$1,OR($L$42=$BL$3,$L$42=$BM$3),$G$42=$CA$9),CE9,IF(AND($C$42=$AH$1,OR($L$42=$BL$3,$L$42=$BM$3),$G$42=$CA$10),CE10,IF(AND($C$42=$AH$1,OR($L$42=$BL$3,$L$42=$BM$3),$G$42=$CA$11),CE11,IF(AND($C$42=$AH$1,OR($L$42=$BL$3,$L$42=$BM$3),$G$42=$CA$12),CE12,IF(AND($C$42=$AH$1,OR($L$42=$BL$3,$L$42=$BM$3),$G$42=$CA$13),CE13,IF(AND($C$42=$AH$1,OR($L$42=$BL$3,$L$42=$BM$3),$G$42=$CA$14),CE14,IF(AND($C$42=$AH$1,OR($L$42=$BL$3,$L$42=$BM$3),$G$42=$CA$15),CE15,IF(AND($C$42=$AH$1,OR($L$42=$BL$3,$L$42=$BM$3),$G$42=$CA$16),CE16,IF(AND($C$42=$AH$1,OR($L$42=$BL$3,$L$42=$BM$3),$G$42=$CA$17),CE17,IF(AND($C$42=$AH$1,OR($L$42=$BL$3,$L$42=$BM$3),$G$42=$CA$18),CE18,IF(AND($C$42=$AH$1,OR($L$42=$BL$3,$L$42=$BM$3),$G$42=$CA$19),CE19,IF(AND($C$42=$AH$1,OR($L$42=$BL$3,$L$42=$BM$3),$G$42=$CA$20),CE20,0)))))))))))))</f>
        <v>0</v>
      </c>
      <c r="BM4" s="383">
        <f>IF(AND($C$42=$AH$1,OR($L$42=$BM$3),$G$42=$CA$7),CF7,IF(AND($C$42=$AH$1,OR($L$42=$BM$3),$G$42=$CA$9),CF9,IF(AND($C$42=$AH$1,OR($L$42=$BM$3),$G$42=$CA$10),CF10,IF(AND($C$42=$AH$1,OR($L$42=$BM$3),$G$42=$CA$11),CF11,IF(AND($C$42=$AH$1,OR($L$42=$BM$3),$G$42=$CA$12),CF12,IF(AND($C$42=$AH$1,OR($L$42=$BM$3),$G$42=$CA$13),CF13,IF(AND($C$42=$AH$1,OR($L$42=$BM$3),$G$42=$CA$14),CF14,IF(AND($C$42=$AH$1,OR($L$42=$BM$3),$G$42=$CA$15),CF15,IF(AND($C$42=$AH$1,OR($L$42=$BM$3),$G$42=$CA$16),CF16,IF(AND($C$42=$AH$1,OR($L$42=$BM$3),$G$42=$CA$17),CF17,IF(AND($C$42=$AH$1,OR($L$42=$BM$3),$G$42=$CA$18),CF18,IF(AND($C$42=$AH$1,OR($L$42=$BM$3),$G$42=$CA$19),CF19,IF(AND($C$42=$AH$1,OR($L$42=$BM$3),$G$42=$CA$20),CF20,0)))))))))))))</f>
        <v>0</v>
      </c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37"/>
      <c r="CA4" s="636" t="s">
        <v>874</v>
      </c>
      <c r="CB4" s="637"/>
      <c r="CC4" s="637"/>
      <c r="CD4" s="637"/>
      <c r="CE4" s="637"/>
      <c r="CF4" s="638"/>
      <c r="CG4" s="233"/>
      <c r="CH4" s="410" t="s">
        <v>1564</v>
      </c>
      <c r="CI4" s="233">
        <f>IF(C66=$AH$1,1,IF(C66=$AH$2,2,IF(C66=$AH$3,3,IF(C66=$AH$4,4,IF(C66=$AH$5,5,0)))))</f>
        <v>0</v>
      </c>
      <c r="CJ4" s="233"/>
      <c r="CK4" s="29" t="s">
        <v>1534</v>
      </c>
      <c r="CL4" s="233">
        <v>3</v>
      </c>
      <c r="CM4" s="233"/>
      <c r="CN4" s="240" t="s">
        <v>1582</v>
      </c>
      <c r="CO4" s="240" t="s">
        <v>1583</v>
      </c>
      <c r="CP4" s="240" t="s">
        <v>1584</v>
      </c>
      <c r="CQ4" s="240" t="s">
        <v>1585</v>
      </c>
      <c r="CR4" s="240" t="s">
        <v>1586</v>
      </c>
      <c r="CS4" s="241" t="s">
        <v>795</v>
      </c>
      <c r="CT4" s="242"/>
      <c r="CU4" s="242"/>
      <c r="CV4" s="478" t="s">
        <v>881</v>
      </c>
      <c r="CW4" s="478"/>
      <c r="CX4" s="242"/>
      <c r="CY4" s="478" t="s">
        <v>882</v>
      </c>
      <c r="CZ4" s="478"/>
      <c r="DA4" s="479" t="s">
        <v>883</v>
      </c>
      <c r="DB4" s="479"/>
      <c r="DC4" s="478" t="s">
        <v>884</v>
      </c>
      <c r="DD4" s="478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427" t="s">
        <v>1153</v>
      </c>
      <c r="DT4" s="418"/>
      <c r="DU4" s="418"/>
      <c r="DV4" s="418"/>
      <c r="DW4" s="418"/>
      <c r="DX4" s="418"/>
      <c r="DY4" s="418"/>
      <c r="DZ4" s="418"/>
      <c r="EA4" s="29"/>
      <c r="EB4" s="29" t="s">
        <v>1258</v>
      </c>
      <c r="EC4" s="409" t="s">
        <v>1035</v>
      </c>
      <c r="ED4" s="409" t="s">
        <v>1150</v>
      </c>
      <c r="EE4" s="409" t="s">
        <v>1267</v>
      </c>
      <c r="EF4" s="409" t="s">
        <v>1268</v>
      </c>
      <c r="EG4" s="409" t="s">
        <v>1001</v>
      </c>
      <c r="EH4" s="97">
        <f>IF(SUM(EH5:EH83)&gt;=0,SUM(EH5:EH83)," ")</f>
        <v>0</v>
      </c>
      <c r="EI4" s="97">
        <f>IF(SUM(EI5:EI83)&gt;=0,SUM(EI5:EI83)," ")</f>
        <v>0</v>
      </c>
      <c r="EJ4" s="97">
        <f>IF(SUM(EJ5:EJ83)&gt;=0,SUM(EJ5:EJ83)," ")</f>
        <v>0</v>
      </c>
      <c r="EK4" s="97" t="str">
        <f>IF(EK26&gt;0,EK26,IF(EK53&gt;0,EK53,IF(EK79&gt;0,EK79," ")))</f>
        <v xml:space="preserve"> </v>
      </c>
      <c r="EL4" s="97">
        <f>IF(SUM(EL5:EL83)&gt;=0,SUM(EL5:EL83)," ")</f>
        <v>0</v>
      </c>
      <c r="EM4" s="29"/>
      <c r="EN4" s="343">
        <f>IF(EK25&gt;0,EK25,0)</f>
        <v>0</v>
      </c>
      <c r="EO4" s="343">
        <f>IF(EK52&gt;0,EK52,0)</f>
        <v>0</v>
      </c>
      <c r="EP4" s="343">
        <f>IF(EK78&gt;0,EK78,0)</f>
        <v>0</v>
      </c>
      <c r="EQ4" s="29"/>
      <c r="ER4" s="339"/>
      <c r="ES4" s="339"/>
      <c r="ET4" s="339"/>
      <c r="EU4" s="339"/>
      <c r="EV4" s="340"/>
      <c r="EW4" s="340"/>
      <c r="EX4" s="34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</row>
    <row r="5" spans="1:168" ht="15.95" customHeight="1" thickBot="1" x14ac:dyDescent="0.3">
      <c r="A5" s="34"/>
      <c r="B5" s="1" t="s">
        <v>1</v>
      </c>
      <c r="C5" s="127"/>
      <c r="D5" s="1" t="s">
        <v>2</v>
      </c>
      <c r="E5" s="127"/>
      <c r="F5" s="1" t="s">
        <v>19</v>
      </c>
      <c r="G5" s="127"/>
      <c r="H5" s="1" t="s">
        <v>97</v>
      </c>
      <c r="I5" s="127"/>
      <c r="J5" s="1" t="s">
        <v>192</v>
      </c>
      <c r="K5" s="48"/>
      <c r="L5" s="1" t="s">
        <v>3</v>
      </c>
      <c r="M5" s="48"/>
      <c r="N5" s="131" t="s">
        <v>4</v>
      </c>
      <c r="O5" s="29"/>
      <c r="P5" s="16" t="s">
        <v>40</v>
      </c>
      <c r="Q5" s="469">
        <f>IF(B1="Volus",20,IF(B1="Elcor",15,IF(B1="Salarian",35,30)))+Feats!E35*5-IF(AE2="Light",0,IF(AE2="Medium",5,IF(AE2="Heavy",10)))+T5</f>
        <v>30</v>
      </c>
      <c r="R5" s="509"/>
      <c r="S5" s="509"/>
      <c r="T5" s="560"/>
      <c r="U5" s="560"/>
      <c r="V5" s="560"/>
      <c r="W5" s="29"/>
      <c r="X5" s="506"/>
      <c r="Y5" s="507"/>
      <c r="Z5" s="507"/>
      <c r="AA5" s="508"/>
      <c r="AB5" s="630"/>
      <c r="AC5" s="29"/>
      <c r="AD5" s="506"/>
      <c r="AE5" s="508"/>
      <c r="AF5" s="630"/>
      <c r="AG5" s="29"/>
      <c r="AH5" s="29" t="s">
        <v>1536</v>
      </c>
      <c r="AI5" s="29"/>
      <c r="AJ5" s="29"/>
      <c r="AK5" s="29"/>
      <c r="AL5" s="29">
        <v>3</v>
      </c>
      <c r="AM5" s="376" t="str">
        <f t="shared" si="0"/>
        <v xml:space="preserve"> </v>
      </c>
      <c r="AN5" s="29"/>
      <c r="AO5" s="382" t="s">
        <v>202</v>
      </c>
      <c r="AP5" s="468">
        <f>IF(C42=$AH$1,AY26,IF(C42=$AH$2,AY60,IF(C42=$AH$3,AY91,IF(C42=$AH$4,AY122,IF(C42=$AH$5,AY153,IF(C42=$AH$6,AY184,0))))))</f>
        <v>0</v>
      </c>
      <c r="AQ5" s="468"/>
      <c r="AR5" s="29"/>
      <c r="AS5" s="29">
        <v>3</v>
      </c>
      <c r="AT5" s="375" t="s">
        <v>1205</v>
      </c>
      <c r="AU5" s="375" t="s">
        <v>819</v>
      </c>
      <c r="AV5" s="375" t="s">
        <v>475</v>
      </c>
      <c r="AW5" s="375">
        <v>20</v>
      </c>
      <c r="AX5" s="375">
        <v>3</v>
      </c>
      <c r="AY5" s="375">
        <v>12</v>
      </c>
      <c r="AZ5" s="375" t="s">
        <v>908</v>
      </c>
      <c r="BA5" s="375">
        <v>1</v>
      </c>
      <c r="BB5" s="375">
        <v>0</v>
      </c>
      <c r="BC5" s="375">
        <v>1</v>
      </c>
      <c r="BD5" s="375">
        <v>50</v>
      </c>
      <c r="BE5" s="375">
        <f t="shared" si="1"/>
        <v>5</v>
      </c>
      <c r="BF5" s="375">
        <v>6.5</v>
      </c>
      <c r="BG5" s="233"/>
      <c r="BH5" s="243"/>
      <c r="BI5" s="409" t="s">
        <v>1537</v>
      </c>
      <c r="BJ5" s="383">
        <f>IF(AND($C$42=$AH$2,OR($L$42=$BJ$3,$L$42=$BK$3,$L$42=$BL$3,$L$42=$BM$3),$G$42=$CA$25),CC25,IF(AND($C$42=$AH$2,OR($L$42=$BJ$3,$L$42=$BK$3,$L$42=$BL$3,$L$42=$BM$3),$G$42=$CA$26),CC26,IF(AND($C$42=$AH$2,OR($L$42=$BJ$3,$L$42=$BK$3,$L$42=$BL$3,$L$42=$BM$3),$G$42=$CA$27),CC27,IF(AND($C$42=$AH$2,OR($L$42=$BJ$3,$L$42=$BK$3,$L$42=$BL$3,$L$42=$BM$3),$G$42=$CA$28),CC28,IF(AND($C$42=$AH$2,OR($L$42=$BJ$3,$L$42=$BK$3,$L$42=$BL$3,$L$42=$BM$3),$G$42=$CA$29),CC29,IF(AND($C$42=$AH$2,OR($L$42=$BJ$3,$L$42=$BK$3,$L$42=$BL$3,$L$42=$BM$3),$G$42=$CA$30),CC30,IF(AND($C$42=$AH$2,OR($L$42=$BJ$3,$L$42=$BK$3,$L$42=$BL$3,$L$42=$BM$3),$G$42=$CA$31),CC31,IF(AND($C$42=$AH$2,OR($L$42=$BJ$3,$L$42=$BK$3,$L$42=$BL$3,$L$42=$BM$3),$G$42=$CA$32),CC32,IF(AND($C$42=$AH$2,OR($L$42=$BJ$3,$L$42=$BK$3,$L$42=$BL$3,$L$42=$BM$3),$G$42=$CA$33),CC33,0)))))))))</f>
        <v>0</v>
      </c>
      <c r="BK5" s="383">
        <f>IF(AND($C$42=$AH$2,OR($L$42=$BK$3,$L$42=$BL$3,$L$42=$BM$3),$G$42=$CA$25),CD25,IF(AND($C$42=$AH$2,OR($L$42=$BK$3,$L$42=$BL$3,$L$42=$BM$3),$G$42=$CA$26),CD26,IF(AND($C$42=$AH$2,OR($L$42=$BK$3,$L$42=$BL$3,$L$42=$BM$3),$G$42=$CA$27),CD27,IF(AND($C$42=$AH$2,OR($L$42=$BK$3,$L$42=$BL$3,$L$42=$BM$3),$G$42=$CA$28),CD28,IF(AND($C$42=$AH$2,OR($L$42=$BK$3,$L$42=$BL$3,$L$42=$BM$3),$G$42=$CA$29),CD29,IF(AND($C$42=$AH$2,OR($L$42=$BK$3,$L$42=$BL$3,$L$42=$BM$3),$G$42=$CA$30),CD30,IF(AND($C$42=$AH$2,OR($L$42=$BK$3,$L$42=$BL$3,$L$42=$BM$3),$G$42=$CA$31),CD31,IF(AND($C$42=$AH$2,OR($L$42=$BK$3,$L$42=$BL$3,$L$42=$BM$3),$G$42=$CA$32),CD32,IF(AND($C$42=$AH$2,OR($L$42=$BK$3,$L$42=$BL$3,$L$42=$BM$3),$G$42=$CA$33),CD33,0)))))))))</f>
        <v>0</v>
      </c>
      <c r="BL5" s="383">
        <f>IF(AND($C$42=$AH$2,OR($L$42=$BL$3,$L$42=$BM$3),$G$42=$CA$25),CE25,IF(AND($C$42=$AH$2,OR($L$42=$BL$3,$L$42=$BM$3),$G$42=$CA$26),CE26,IF(AND($C$42=$AH$2,OR($L$42=$BL$3,$L$42=$BM$3),$G$42=$CA$27),CE27,IF(AND($C$42=$AH$2,OR($L$42=$BL$3,$L$42=$BM$3),$G$42=$CA$28),CE28,IF(AND($C$42=$AH$2,OR($L$42=$BL$3,$L$42=$BM$3),$G$42=$CA$29),CE29,IF(AND($C$42=$AH$2,OR($L$42=$BL$3,$L$42=$BM$3),$G$42=$CA$30),CE30,IF(AND($C$42=$AH$2,OR($L$42=$BL$3,$L$42=$BM$3),$G$42=$CA$31),CE31,IF(AND($C$42=$AH$2,OR($L$42=$BL$3,$L$42=$BM$3),$G$42=$CA$32),CE32,IF(AND($C$42=$AH$2,OR($L$42=$BL$3,$L$42=$BM$3),$G$42=$CA$33),CE33,0)))))))))</f>
        <v>0</v>
      </c>
      <c r="BM5" s="383">
        <f>IF(AND($C$42=$AH$2,OR($L$42=$BM$3),$G$42=$CA$25),CF25,IF(AND($C$42=$AH$2,OR($L$42=$BM$3),$G$42=$CA$26),CF26,IF(AND($C$42=$AH$2,OR($L$42=$BM$3),$G$42=$CA$27),CF27,IF(AND($C$42=$AH$2,OR($L$42=$BM$3),$G$42=$CA$28),CF28,IF(AND($C$42=$AH$2,OR($L$42=$BM$3),$G$42=$CA$29),CF29,IF(AND($C$42=$AH$2,OR($L$42=$BM$3),$G$42=$CA$30),CF30,IF(AND($C$42=$AH$2,OR($L$42=$BM$3),$G$42=$CA$31),CF31,IF(AND($C$42=$AH$2,OR($L$42=$BM$3),$G$42=$CA$32),CF32,IF(AND($C$42=$AH$2,OR($L$42=$BM$3),$G$42=$CA$33),CF33,0)))))))))</f>
        <v>0</v>
      </c>
      <c r="BN5" s="243"/>
      <c r="BO5" s="243"/>
      <c r="BP5" s="243"/>
      <c r="BQ5" s="243"/>
      <c r="BR5" s="243"/>
      <c r="BS5" s="243"/>
      <c r="BT5" s="243"/>
      <c r="BU5" s="243"/>
      <c r="BV5" s="243"/>
      <c r="BW5" s="243"/>
      <c r="BX5" s="243"/>
      <c r="BY5" s="243"/>
      <c r="BZ5" s="237"/>
      <c r="CA5" s="397"/>
      <c r="CB5" s="405" t="s">
        <v>875</v>
      </c>
      <c r="CC5" s="405" t="s">
        <v>876</v>
      </c>
      <c r="CD5" s="405" t="s">
        <v>877</v>
      </c>
      <c r="CE5" s="405" t="s">
        <v>878</v>
      </c>
      <c r="CF5" s="405" t="s">
        <v>879</v>
      </c>
      <c r="CG5" s="233"/>
      <c r="CH5" s="410" t="s">
        <v>1565</v>
      </c>
      <c r="CI5" s="233">
        <f>IF(C78=$AH$1,1,IF(C78=$AH$2,2,IF(C78=$AH$3,3,IF(C78=$AH$4,4,IF(C78=$AH$5,5,0)))))</f>
        <v>0</v>
      </c>
      <c r="CJ5" s="233"/>
      <c r="CK5" s="29" t="s">
        <v>1535</v>
      </c>
      <c r="CL5" s="233">
        <v>4</v>
      </c>
      <c r="CM5" s="233"/>
      <c r="CN5" s="361" t="str">
        <f t="shared" ref="CN5:CN36" si="2">IF($CI$2=1,CS5,IF($CI$2=2,CV5,IF($CI$2=3,CY5,IF($CI$2=4,DA5,IF($CI$2=5,DC5," ")))))</f>
        <v xml:space="preserve"> </v>
      </c>
      <c r="CO5" s="361" t="str">
        <f t="shared" ref="CO5:CO36" si="3">IF($CI$3=1,CS5,IF($CI$3=2,CV5,IF($CI$3=3,CY5,IF($CI$3=4,DA5,IF($CI$3=5,DC5," ")))))</f>
        <v xml:space="preserve"> </v>
      </c>
      <c r="CP5" s="361" t="str">
        <f t="shared" ref="CP5:CP36" si="4">IF($CI$4=1,CS5,IF($CI$4=2,CV5,IF($CI$4=3,CY5,IF($CI$4=4,DA5,IF($CI$4=5,DC5," ")))))</f>
        <v xml:space="preserve"> </v>
      </c>
      <c r="CQ5" s="361" t="str">
        <f t="shared" ref="CQ5:CQ36" si="5">IF($CI$5=1,CS5,IF($CI$5=2,CV5,IF($CI$5=3,CY5,IF($CI$5=4,DA5,IF($CI$5=5,DC5," ")))))</f>
        <v xml:space="preserve"> </v>
      </c>
      <c r="CR5" s="361" t="str">
        <f t="shared" ref="CR5:CR36" si="6">IF($CI$6=1,CS5,IF($CI$6=2,CV5,IF($CI$6=3,CY5,IF($CI$6=4,DA5,IF($CI$6=5,DC5," ")))))</f>
        <v xml:space="preserve"> </v>
      </c>
      <c r="CS5" s="233" t="s">
        <v>913</v>
      </c>
      <c r="CT5" s="233"/>
      <c r="CU5" s="233"/>
      <c r="CV5" s="233" t="s">
        <v>913</v>
      </c>
      <c r="CW5" s="233"/>
      <c r="CX5" s="233"/>
      <c r="CY5" s="233" t="s">
        <v>913</v>
      </c>
      <c r="CZ5" s="233"/>
      <c r="DA5" s="233" t="s">
        <v>913</v>
      </c>
      <c r="DB5" s="233"/>
      <c r="DC5" s="233" t="s">
        <v>974</v>
      </c>
      <c r="DD5" s="233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421" t="s">
        <v>1625</v>
      </c>
      <c r="DT5" s="420">
        <v>390</v>
      </c>
      <c r="DU5" s="420">
        <v>0</v>
      </c>
      <c r="DV5" s="420">
        <v>10</v>
      </c>
      <c r="DW5" s="420">
        <v>4</v>
      </c>
      <c r="DX5" s="420" t="s">
        <v>1154</v>
      </c>
      <c r="DY5" s="420">
        <v>23</v>
      </c>
      <c r="DZ5" s="420" t="s">
        <v>1155</v>
      </c>
      <c r="EA5" s="29">
        <v>1</v>
      </c>
      <c r="EB5" s="413" t="str">
        <f>DS5</f>
        <v>Mercenary Light</v>
      </c>
      <c r="EC5" s="409">
        <f>DU5</f>
        <v>0</v>
      </c>
      <c r="ED5" s="432">
        <f>DV5</f>
        <v>10</v>
      </c>
      <c r="EE5" s="432">
        <f t="shared" ref="EE5:EG5" si="7">DW5</f>
        <v>4</v>
      </c>
      <c r="EF5" s="432" t="str">
        <f t="shared" si="7"/>
        <v>C; A</v>
      </c>
      <c r="EG5" s="432">
        <f t="shared" si="7"/>
        <v>23</v>
      </c>
      <c r="EH5" s="97">
        <f t="shared" ref="EH5:EH19" si="8">IF($AB$27=EB5,EC5,0)</f>
        <v>0</v>
      </c>
      <c r="EI5" s="97">
        <f t="shared" ref="EI5:EI19" si="9">IF($AB$27=EB5,ED5,0)</f>
        <v>0</v>
      </c>
      <c r="EJ5" s="97">
        <f t="shared" ref="EJ5:EJ19" si="10">IF($AB$27=EB5,EE5,0)</f>
        <v>0</v>
      </c>
      <c r="EK5" s="97">
        <f t="shared" ref="EK5:EK19" si="11">IF($AB$27=EB5,EF5,0)</f>
        <v>0</v>
      </c>
      <c r="EL5" s="97">
        <f t="shared" ref="EL5:EL19" si="12">IF($AB$27=EB5,EG5,0)</f>
        <v>0</v>
      </c>
      <c r="EM5" s="29"/>
      <c r="EN5" s="29"/>
      <c r="EO5" s="29"/>
      <c r="EP5" s="29"/>
      <c r="EQ5" s="29"/>
      <c r="ER5" s="339"/>
      <c r="ES5" s="339"/>
      <c r="ET5" s="417" t="str">
        <f t="shared" ref="ET5:ET25" si="13">IF($Y$27="Light",EB5,IF($Y$27="Medium",EB28,IF($Y$27="Heavy",EB55," ")))</f>
        <v xml:space="preserve"> </v>
      </c>
      <c r="EU5" s="339"/>
      <c r="EV5" s="340"/>
      <c r="EW5" s="340"/>
      <c r="EX5" s="34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</row>
    <row r="6" spans="1:168" ht="15.95" customHeight="1" thickBot="1" x14ac:dyDescent="0.3">
      <c r="A6" s="128" t="s">
        <v>5</v>
      </c>
      <c r="B6" s="129">
        <f>D6+F6+H6+J6+L6</f>
        <v>0</v>
      </c>
      <c r="C6" s="51" t="s">
        <v>6</v>
      </c>
      <c r="D6" s="130"/>
      <c r="E6" s="51" t="s">
        <v>7</v>
      </c>
      <c r="F6" s="130"/>
      <c r="G6" s="51" t="s">
        <v>7</v>
      </c>
      <c r="H6" s="130"/>
      <c r="I6" s="51" t="s">
        <v>7</v>
      </c>
      <c r="J6" s="130"/>
      <c r="K6" s="50" t="s">
        <v>7</v>
      </c>
      <c r="L6" s="132"/>
      <c r="M6" s="10"/>
      <c r="N6" s="27">
        <f>IF(B6&lt;10,ROUNDUP((B6-10)/2,0),ROUNDDOWN((B6-10)/2,0))</f>
        <v>-5</v>
      </c>
      <c r="O6" s="29"/>
      <c r="P6" s="29"/>
      <c r="Q6" s="561" t="s">
        <v>66</v>
      </c>
      <c r="R6" s="561"/>
      <c r="S6" s="561"/>
      <c r="T6" s="561" t="s">
        <v>790</v>
      </c>
      <c r="U6" s="561"/>
      <c r="V6" s="561"/>
      <c r="W6" s="30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 t="s">
        <v>1538</v>
      </c>
      <c r="AI6" s="29"/>
      <c r="AJ6" s="29"/>
      <c r="AK6" s="29"/>
      <c r="AL6" s="29">
        <v>4</v>
      </c>
      <c r="AM6" s="376" t="str">
        <f t="shared" si="0"/>
        <v xml:space="preserve"> </v>
      </c>
      <c r="AN6" s="29"/>
      <c r="AO6" s="382" t="s">
        <v>420</v>
      </c>
      <c r="AP6" s="468">
        <f>IF(C42=$AH$1,AZ26,IF(C42=$AH$2,AZ60,IF(C42=$AH$3,AZ91,IF(C42=$AH$4,AZ122,IF(C42=$AH$5,AZ153,IF(C42=$AH$6,AZ184,0))))))</f>
        <v>0</v>
      </c>
      <c r="AQ6" s="468"/>
      <c r="AR6" s="29"/>
      <c r="AS6" s="29">
        <v>4</v>
      </c>
      <c r="AT6" s="375" t="s">
        <v>798</v>
      </c>
      <c r="AU6" s="375" t="s">
        <v>799</v>
      </c>
      <c r="AV6" s="375" t="s">
        <v>509</v>
      </c>
      <c r="AW6" s="375">
        <v>20</v>
      </c>
      <c r="AX6" s="375">
        <v>2</v>
      </c>
      <c r="AY6" s="375">
        <v>7</v>
      </c>
      <c r="AZ6" s="375" t="s">
        <v>1551</v>
      </c>
      <c r="BA6" s="375">
        <v>2</v>
      </c>
      <c r="BB6" s="375">
        <v>-2</v>
      </c>
      <c r="BC6" s="375">
        <v>15</v>
      </c>
      <c r="BD6" s="375">
        <v>30</v>
      </c>
      <c r="BE6" s="375">
        <f t="shared" si="1"/>
        <v>2</v>
      </c>
      <c r="BF6" s="375">
        <v>3</v>
      </c>
      <c r="BG6" s="233"/>
      <c r="BH6" s="243"/>
      <c r="BI6" s="409" t="s">
        <v>1534</v>
      </c>
      <c r="BJ6" s="383">
        <f>IF(AND($C$42=$AH$3,OR($L$42=$BJ$3,$L$42=$BK$3,$L$42=$BL$3,$L$42=$BM$3),$G$42=$CA$41),CC41,IF(AND($C$42=$AH$3,OR($L$42=$BJ$3,$L$42=$BK$3,$L$42=$BL$3,$L$42=$BM$3),$G$42=$CA$42),CC42,IF(AND($C$42=$AH$3,OR($L$42=$BJ$3,$L$42=$BK$3,$L$42=$BL$3,$L$42=$BM$3),$G$42=$CA$43),CC43,IF(AND($C$42=$AH$3,OR($L$42=$BJ$3,$L$42=$BK$3,$L$42=$BL$3,$L$42=$BM$3),$G$42=$CA$44),CC44,IF(AND($C$42=$AH$3,OR($L$42=$BJ$3,$L$42=$BK$3,$L$42=$BL$3,$L$42=$BM$3),$G$42=$CA$45),CC45,IF(AND($C$42=$AH$3,OR($L$42=$BJ$3,$L$42=$BK$3,$L$42=$BL$3,$L$42=$BM$3),$G$42=$CA$46),CC46,IF(AND($C$42=$AH$3,OR($L$42=$BJ$3,$L$42=$BK$3,$L$42=$BL$3,$L$42=$BM$3),$G$42=$CA$47),CC47,IF(AND($C$42=$AH$3,OR($L$42=$BJ$3,$L$42=$BK$3,$L$42=$BL$3,$L$42=$BM$3),$G$42=$CA$48),CC48,IF(AND($C$42=$AH$3,OR($L$42=$BJ$3,$L$42=$BK$3,$L$42=$BL$3,$L$42=$BM$3),$G$42=$CA$49),CC49,IF(AND($C$42=$AH$3,OR($L$42=$BJ$3,$L$42=$BK$3,$L$42=$BL$3,$L$42=$BM$3),$G$42=$CA$50),CC50,IF(AND($C$42=$AH$3,OR($L$42=$BJ$3,$L$42=$BK$3,$L$42=$BL$3,$L$42=$BM$3),$G$42=$CA$51),CC51,IF(AND($C$42=$AH$3,OR($L$42=$BJ$3,$L$42=$BK$3,$L$42=$BL$3,$L$42=$BM$3),$G$42=$CA$52),CC52,IF(AND($C$42=$AH$3,OR($L$42=$BJ$3,$L$42=$BK$3,$L$42=$BL$3,$L$42=$BM$3),$G$42=$CA$53),CC53,IF(AND($C$42=$AH$3,OR($L$42=$BJ$3,$L$42=$BK$3,$L$42=$BL$3,$L$42=$BM$3),$G$42=$CA$54),CC54,IF(AND($C$42=$AH$3,OR($L$42=$BJ$3,$L$42=$BK$3,$L$42=$BL$3,$L$42=$BM$3),$G$42=$CA$55),CC55,IF(AND($C$42=$AH$3,OR($L$42=$BJ$3,$L$42=$BK$3,$L$42=$BL$3,$L$42=$BM$3),$G$42=$CA$56),CC56,IF(AND($C$42=$AH$3,OR($L$42=$BJ$3,$L$42=$BK$3,$L$42=$BL$3,$L$42=$BM$3),$G$42=$CA$57),CC57,IF(AND($C$42=$AH$3,OR($L$42=$BJ$3,$L$42=$BK$3,$L$42=$BL$3,$L$42=$BM$3),$G$42=$CA$58),CC58,IF(AND($C$42=$AH$3,OR($L$42=$BJ$3,$L$42=$BK$3,$L$42=$BL$3,$L$42=$BM$3),$G$42=$CA$59),CC59,IF(AND($C$42=$AH$3,OR($L$42=$BJ$3,$L$42=$BK$3,$L$42=$BL$3,$L$42=$BM$3),$G$42=$CA$60),CC60,IF(AND($C$42=$AH$3,OR($L$42=$BJ$3,$L$42=$BK$3,$L$42=$BL$3,$L$42=$BM$3),$G$42=$CA$61),CC61,IF(AND($C$42=$AH$3,OR($L$42=$BJ$3,$L$42=$BK$3,$L$42=$BL$3,$L$42=$BM$3),$G$42=$CA$62),CC62,0))))))))))))))))))))))</f>
        <v>0</v>
      </c>
      <c r="BK6" s="383">
        <f>IF(AND($C$42=$AH$3,OR($L$42=$BK$3,$L$42=$BL$3,$L$42=$BM$3),$G$42=$CA$41),CD41,IF(AND($C$42=$AH$3,OR($L$42=$BK$3,$L$42=$BL$3,$L$42=$BM$3),$G$42=$CA$42),CD42,IF(AND($C$42=$AH$3,OR($L$42=$BK$3,$L$42=$BL$3,$L$42=$BM$3),$G$42=$CA$43),CD43,IF(AND($C$42=$AH$3,OR($L$42=$BK$3,$L$42=$BL$3,$L$42=$BM$3),$G$42=$CA$44),CD44,IF(AND($C$42=$AH$3,OR($L$42=$BK$3,$L$42=$BL$3,$L$42=$BM$3),$G$42=$CA$45),CD45,IF(AND($C$42=$AH$3,OR($L$42=$BK$3,$L$42=$BL$3,$L$42=$BM$3),$G$42=$CA$46),CD46,IF(AND($C$42=$AH$3,OR($L$42=$BK$3,$L$42=$BL$3,$L$42=$BM$3),$G$42=$CA$47),CD47,IF(AND($C$42=$AH$3,OR($L$42=$BK$3,$L$42=$BL$3,$L$42=$BM$3),$G$42=$CA$48),CD48,IF(AND($C$42=$AH$3,OR($L$42=$BK$3,$L$42=$BL$3,$L$42=$BM$3),$G$42=$CA$49),CD49,IF(AND($C$42=$AH$3,OR($L$42=$BK$3,$L$42=$BL$3,$L$42=$BM$3),$G$42=$CA$50),CD50,IF(AND($C$42=$AH$3,OR($L$42=$BK$3,$L$42=$BL$3,$L$42=$BM$3),$G$42=$CA$51),CD51,IF(AND($C$42=$AH$3,OR($L$42=$BK$3,$L$42=$BL$3,$L$42=$BM$3),$G$42=$CA$52),CD52,IF(AND($C$42=$AH$3,OR($L$42=$BK$3,$L$42=$BL$3,$L$42=$BM$3),$G$42=$CA$53),CD53,IF(AND($C$42=$AH$3,OR($L$42=$BK$3,$L$42=$BL$3,$L$42=$BM$3),$G$42=$CA$54),CD54,IF(AND($C$42=$AH$3,OR($L$42=$BK$3,$L$42=$BL$3,$L$42=$BM$3),$G$42=$CA$55),CD55,IF(AND($C$42=$AH$3,OR($L$42=$BK$3,$L$42=$BL$3,$L$42=$BM$3),$G$42=$CA$56),CD56,IF(AND($C$42=$AH$3,OR($L$42=$BK$3,$L$42=$BL$3,$L$42=$BM$3),$G$42=$CA$57),CD57,IF(AND($C$42=$AH$3,OR($L$42=$BK$3,$L$42=$BL$3,$L$42=$BM$3),$G$42=$CA$58),CD58,IF(AND($C$42=$AH$3,OR($L$42=$BK$3,$L$42=$BL$3,$L$42=$BM$3),$G$42=$CA$59),CD59,IF(AND($C$42=$AH$3,OR($L$42=$BK$3,$L$42=$BL$3,$L$42=$BM$3),$G$42=$CA$60),CD60,IF(AND($C$42=$AH$3,OR($L$42=$BK$3,$L$42=$BL$3,$L$42=$BM$3),$G$42=$CA$61),CD61,IF(AND($C$42=$AH$3,OR($L$42=$BK$3,$L$42=$BL$3,$L$42=$BM$3),$G$42=$CA$62),CD62,0))))))))))))))))))))))</f>
        <v>0</v>
      </c>
      <c r="BL6" s="383">
        <f>IF(AND($C$42=$AH$3,OR($L$42=$BL$3,$L$42=$BM$3),$G$42=$CA$41),CE41,IF(AND($C$42=$AH$3,OR($L$42=$BL$3,$L$42=$BM$3),$G$42=$CA$42),CE42,IF(AND($C$42=$AH$3,OR($L$42=$BL$3,$L$42=$BM$3),$G$42=$CA$43),CE43,IF(AND($C$42=$AH$3,OR($L$42=$BL$3,$L$42=$BM$3),$G$42=$CA$44),CE44,IF(AND($C$42=$AH$3,OR($L$42=$BL$3,$L$42=$BM$3),$G$42=$CA$45),CE45,IF(AND($C$42=$AH$3,OR($L$42=$BL$3,$L$42=$BM$3),$G$42=$CA$46),CE46,IF(AND($C$42=$AH$3,OR($L$42=$BL$3,$L$42=$BM$3),$G$42=$CA$47),CE47,IF(AND($C$42=$AH$3,OR($L$42=$BL$3,$L$42=$BM$3),$G$42=$CA$48),CE48,IF(AND($C$42=$AH$3,OR($L$42=$BL$3,$L$42=$BM$3),$G$42=$CA$49),CE49,IF(AND($C$42=$AH$3,OR($L$42=$BL$3,$L$42=$BM$3),$G$42=$CA$50),CE50,IF(AND($C$42=$AH$3,OR($L$42=$BL$3,$L$42=$BM$3),$G$42=$CA$51),CE51,IF(AND($C$42=$AH$3,OR($L$42=$BL$3,$L$42=$BM$3),$G$42=$CA$52),CE52,IF(AND($C$42=$AH$3,OR($L$42=$BL$3,$L$42=$BM$3),$G$42=$CA$53),CE53,IF(AND($C$42=$AH$3,OR($L$42=$BL$3,$L$42=$BM$3),$G$42=$CA$54),CE54,IF(AND($C$42=$AH$3,OR($L$42=$BL$3,$L$42=$BM$3),$G$42=$CA$55),CE55,IF(AND($C$42=$AH$3,OR($L$42=$BL$3,$L$42=$BM$3),$G$42=$CA$56),CE56,IF(AND($C$42=$AH$3,OR($L$42=$BL$3,$L$42=$BM$3),$G$42=$CA$57),CE57,IF(AND($C$42=$AH$3,OR($L$42=$BL$3,$L$42=$BM$3),$G$42=$CA$58),CE58,IF(AND($C$42=$AH$3,OR($L$42=$BL$3,$L$42=$BM$3),$G$42=$CA$59),CE59,IF(AND($C$42=$AH$3,OR($L$42=$BL$3,$L$42=$BM$3),$G$42=$CA$60),CE60,IF(AND($C$42=$AH$3,OR($L$42=$BL$3,$L$42=$BM$3),$G$42=$CA$61),CE61,IF(AND($C$42=$AH$3,OR($L$42=$BL$3,$L$42=$BM$3),$G$42=$CA$62),CE62,0))))))))))))))))))))))</f>
        <v>0</v>
      </c>
      <c r="BM6" s="383">
        <f>IF(AND($C$42=$AH$3,OR($L$42=$BM$3),$G$42=$CA$41),CF41,IF(AND($C$42=$AH$3,OR($L$42=$BM$3),$G$42=$CA$42),CF42,IF(AND($C$42=$AH$3,OR($L$42=$BM$3),$G$42=$CA$43),CF43,IF(AND($C$42=$AH$3,OR($L$42=$BM$3),$G$42=$CA$44),CF44,IF(AND($C$42=$AH$3,OR($L$42=$BM$3),$G$42=$CA$45),CF45,IF(AND($C$42=$AH$3,OR($L$42=$BM$3),$G$42=$CA$46),CF46,IF(AND($C$42=$AH$3,OR($L$42=$BM$3),$G$42=$CA$47),CF47,IF(AND($C$42=$AH$3,OR($L$42=$BM$3),$G$42=$CA$48),CF48,IF(AND($C$42=$AH$3,OR($L$42=$BM$3),$G$42=$CA$49),CF49,IF(AND($C$42=$AH$3,OR($L$42=$BM$3),$G$42=$CA$50),CF50,IF(AND($C$42=$AH$3,OR($L$42=$BM$3),$G$42=$CA$51),CF51,IF(AND($C$42=$AH$3,OR($L$42=$BM$3),$G$42=$CA$52),CF52,IF(AND($C$42=$AH$3,OR($L$42=$BM$3),$G$42=$CA$53),CF53,IF(AND($C$42=$AH$3,OR($L$42=$BM$3),$G$42=$CA$54),CF54,IF(AND($C$42=$AH$3,OR($L$42=$BM$3),$G$42=$CA$55),CF55,IF(AND($C$42=$AH$3,OR($L$42=$BM$3),$G$42=$CA$56),CF56,IF(AND($C$42=$AH$3,OR($L$42=$BM$3),$G$42=$CA$57),CF57,IF(AND($C$42=$AH$3,OR($L$42=$BM$3),$G$42=$CA$58),CF58,IF(AND($C$42=$AH$3,OR($L$42=$BM$3),$G$42=$CA$59),CF59,IF(AND($C$42=$AH$3,OR($L$42=$BM$3),$G$42=$CA$60),CF60,IF(AND($C$42=$AH$3,OR($L$42=$BM$3),$G$42=$CA$61),CF61,IF(AND($C$42=$AH$3,OR($L$42=$BM$3),$G$42=$CA$62),CF62,0))))))))))))))))))))))</f>
        <v>0</v>
      </c>
      <c r="BN6" s="243"/>
      <c r="BO6" s="243"/>
      <c r="BP6" s="243"/>
      <c r="BQ6" s="243"/>
      <c r="BR6" s="243"/>
      <c r="BS6" s="243"/>
      <c r="BT6" s="243"/>
      <c r="BU6" s="243"/>
      <c r="BV6" s="243"/>
      <c r="BW6" s="243"/>
      <c r="BX6" s="243"/>
      <c r="BY6" s="243"/>
      <c r="BZ6" s="235"/>
      <c r="CA6" s="397" t="s">
        <v>795</v>
      </c>
      <c r="CB6" s="480" t="s">
        <v>880</v>
      </c>
      <c r="CC6" s="480"/>
      <c r="CD6" s="480"/>
      <c r="CE6" s="480"/>
      <c r="CF6" s="480"/>
      <c r="CG6" s="233"/>
      <c r="CH6" s="410" t="s">
        <v>1566</v>
      </c>
      <c r="CI6" s="233">
        <f>IF(C90=$AH$1,1,IF(C90=$AH$2,2,IF(C90=$AH$3,3,IF(C90=$AH$4,4,IF(C90=$AH$5,5,0)))))</f>
        <v>0</v>
      </c>
      <c r="CJ6" s="233"/>
      <c r="CK6" s="29" t="s">
        <v>1536</v>
      </c>
      <c r="CL6" s="233">
        <v>5</v>
      </c>
      <c r="CM6" s="233"/>
      <c r="CN6" s="361" t="str">
        <f t="shared" si="2"/>
        <v xml:space="preserve"> </v>
      </c>
      <c r="CO6" s="361" t="str">
        <f t="shared" si="3"/>
        <v xml:space="preserve"> </v>
      </c>
      <c r="CP6" s="361" t="str">
        <f t="shared" si="4"/>
        <v xml:space="preserve"> </v>
      </c>
      <c r="CQ6" s="361" t="str">
        <f t="shared" si="5"/>
        <v xml:space="preserve"> </v>
      </c>
      <c r="CR6" s="361" t="str">
        <f t="shared" si="6"/>
        <v xml:space="preserve"> </v>
      </c>
      <c r="CS6" s="233" t="s">
        <v>914</v>
      </c>
      <c r="CT6" s="233"/>
      <c r="CU6" s="233"/>
      <c r="CV6" s="233" t="s">
        <v>914</v>
      </c>
      <c r="CW6" s="233"/>
      <c r="CX6" s="233"/>
      <c r="CY6" s="233" t="s">
        <v>914</v>
      </c>
      <c r="CZ6" s="233"/>
      <c r="DA6" s="233" t="s">
        <v>914</v>
      </c>
      <c r="DB6" s="233"/>
      <c r="DC6" s="233" t="s">
        <v>975</v>
      </c>
      <c r="DD6" s="233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421" t="s">
        <v>1626</v>
      </c>
      <c r="DT6" s="420">
        <v>745</v>
      </c>
      <c r="DU6" s="420">
        <v>0</v>
      </c>
      <c r="DV6" s="420">
        <v>15</v>
      </c>
      <c r="DW6" s="420">
        <v>4</v>
      </c>
      <c r="DX6" s="420" t="s">
        <v>1154</v>
      </c>
      <c r="DY6" s="420">
        <v>20</v>
      </c>
      <c r="DZ6" s="420" t="s">
        <v>1156</v>
      </c>
      <c r="EA6" s="29">
        <v>2</v>
      </c>
      <c r="EB6" s="413" t="str">
        <f t="shared" ref="EB6:EB24" si="14">DS6</f>
        <v>Onyx Light</v>
      </c>
      <c r="EC6" s="409">
        <f t="shared" ref="EC6:EC24" si="15">DU6</f>
        <v>0</v>
      </c>
      <c r="ED6" s="432">
        <f t="shared" ref="ED6:ED24" si="16">DV6</f>
        <v>15</v>
      </c>
      <c r="EE6" s="432">
        <f t="shared" ref="EE6:EE24" si="17">DW6</f>
        <v>4</v>
      </c>
      <c r="EF6" s="432" t="str">
        <f t="shared" ref="EF6:EF24" si="18">DX6</f>
        <v>C; A</v>
      </c>
      <c r="EG6" s="432">
        <f t="shared" ref="EG6:EG24" si="19">DY6</f>
        <v>20</v>
      </c>
      <c r="EH6" s="97">
        <f t="shared" si="8"/>
        <v>0</v>
      </c>
      <c r="EI6" s="97">
        <f t="shared" si="9"/>
        <v>0</v>
      </c>
      <c r="EJ6" s="97">
        <f t="shared" si="10"/>
        <v>0</v>
      </c>
      <c r="EK6" s="97">
        <f t="shared" si="11"/>
        <v>0</v>
      </c>
      <c r="EL6" s="97">
        <f t="shared" si="12"/>
        <v>0</v>
      </c>
      <c r="EM6" s="29"/>
      <c r="EN6" s="29" t="s">
        <v>1507</v>
      </c>
      <c r="EO6" s="29"/>
      <c r="EP6" s="29"/>
      <c r="EQ6" s="29"/>
      <c r="ER6" s="339"/>
      <c r="ES6" s="339"/>
      <c r="ET6" s="417" t="str">
        <f t="shared" si="13"/>
        <v xml:space="preserve"> </v>
      </c>
      <c r="EU6" s="339"/>
      <c r="EV6" s="340"/>
      <c r="EW6" s="340"/>
      <c r="EX6" s="34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</row>
    <row r="7" spans="1:168" ht="15.95" customHeight="1" thickBot="1" x14ac:dyDescent="0.3">
      <c r="A7" s="566" t="s">
        <v>8</v>
      </c>
      <c r="B7" s="566"/>
      <c r="C7" s="566"/>
      <c r="D7" s="566"/>
      <c r="E7" s="566"/>
      <c r="F7" s="566"/>
      <c r="G7" s="566"/>
      <c r="H7" s="566"/>
      <c r="I7" s="566"/>
      <c r="J7" s="566"/>
      <c r="K7" s="566"/>
      <c r="L7" s="566"/>
      <c r="M7" s="566"/>
      <c r="N7" s="566"/>
      <c r="O7" s="29"/>
      <c r="P7" s="570" t="s">
        <v>45</v>
      </c>
      <c r="Q7" s="571"/>
      <c r="R7" s="19">
        <f>T7+V7+IF('Combat Powers'!$U$54="Yes",$N$12,0)</f>
        <v>-5</v>
      </c>
      <c r="S7" s="17" t="s">
        <v>6</v>
      </c>
      <c r="T7" s="19">
        <f>N8+4*Feats!H10+2*Feats!K13+1*Feats!Q17</f>
        <v>-5</v>
      </c>
      <c r="U7" s="17" t="s">
        <v>7</v>
      </c>
      <c r="V7" s="11"/>
      <c r="X7" s="365" t="s">
        <v>99</v>
      </c>
      <c r="Y7" s="631"/>
      <c r="Z7" s="631"/>
      <c r="AA7" s="631"/>
      <c r="AB7" s="631"/>
      <c r="AD7" s="626" t="s">
        <v>25</v>
      </c>
      <c r="AE7" s="626"/>
      <c r="AF7" s="103"/>
      <c r="AG7" s="29"/>
      <c r="AH7" s="29" t="s">
        <v>910</v>
      </c>
      <c r="AI7" s="29"/>
      <c r="AJ7" s="29">
        <v>1</v>
      </c>
      <c r="AK7" s="29"/>
      <c r="AL7" s="29">
        <v>5</v>
      </c>
      <c r="AM7" s="376" t="str">
        <f t="shared" si="0"/>
        <v xml:space="preserve"> </v>
      </c>
      <c r="AN7" s="29"/>
      <c r="AO7" s="382" t="s">
        <v>421</v>
      </c>
      <c r="AP7" s="468">
        <f>IF(C42=$AH$1,BA26,IF(C42=$AH$2,BA60,IF(C42=$AH$3,BA91,IF(C42=$AH$4,BA122,IF(C42=$AH$5,BA153,IF(C42=$AH$6,BA184,0))))))+IF(BJ9="RoF +1",1,0)+IF(BK9="RoF +1",1,0)+IF(BL9="RoF +1",1,0)+IF(BM9="RoF +1",1,0)+IF(OR(N42="Heat Sink",N42=CV15),1,0)+IF(OR(S42="Heat Sink",S42=CV15),1,0)+IF(OR(W42="Heat Sink",W42=CV15),1,0)+IF(N42=CV16,2,0)+IF(S42=CV16,2,0)+IF(W42=CV16,2,0)+IF(N42=CV17,3,0)+IF(S42=CV17,3,0)+IF(W42=CV17,3,0)+IF(N42=CV18,-1,0)+IF(S42=CV18,-1,0)+IF(W42=CV18,-1,0)+IF(N42=CV19,-1,0)+IF(S42=CV19,-1,0)+IF(W42=CV19,-1,0)+IF(N42=CS23,-1,0)+IF(S42=CS23,-1,0)+IF(W42=CS23,-1,0)+IF(N42=CY23,-2,0)+IF(S42=CY23,-2,0)+IF(W42=CY23,-2,0)+IF(N42=CY20,1,0)+IF(S42=CY20,1,0)+IF(W42=CY20,1,0)+IF(N42=CS31,-3,0)+IF(S42=CS31,-3,0)+IF(W42=CS31,-3,0)</f>
        <v>0</v>
      </c>
      <c r="AQ7" s="468"/>
      <c r="AR7" s="29"/>
      <c r="AS7" s="29">
        <v>5</v>
      </c>
      <c r="AT7" s="375" t="s">
        <v>854</v>
      </c>
      <c r="AU7" s="375" t="s">
        <v>799</v>
      </c>
      <c r="AV7" s="375" t="s">
        <v>509</v>
      </c>
      <c r="AW7" s="375">
        <v>20</v>
      </c>
      <c r="AX7" s="375">
        <v>2</v>
      </c>
      <c r="AY7" s="375">
        <v>8</v>
      </c>
      <c r="AZ7" s="375" t="s">
        <v>1551</v>
      </c>
      <c r="BA7" s="375">
        <v>2</v>
      </c>
      <c r="BB7" s="375">
        <v>-2</v>
      </c>
      <c r="BC7" s="375">
        <v>12</v>
      </c>
      <c r="BD7" s="375">
        <v>30</v>
      </c>
      <c r="BE7" s="375">
        <f t="shared" si="1"/>
        <v>2</v>
      </c>
      <c r="BF7" s="375">
        <v>3</v>
      </c>
      <c r="BG7" s="233"/>
      <c r="BH7" s="243"/>
      <c r="BI7" s="409" t="s">
        <v>1535</v>
      </c>
      <c r="BJ7" s="383">
        <f>IF(AND($C$42=$AH$4,OR($L$42=$BJ$3,$L$42=$BK$3,$L$42=$BL$3,$L$42=$BM$3),$G$42=$CA$67),CC67,IF(AND($C$42=$AH$4,OR($L$42=$BJ$3,$L$42=$BK$3,$L$42=$BL$3,$L$42=$BM$3),$G$42=$CA$68),CC68,IF(AND($C$42=$AH$4,OR($L$42=$BJ$3,$L$42=$BK$3,$L$42=$BL$3,$L$42=$BM$3),$G$42=$CA$69),CC69,IF(AND($C$42=$AH$4,OR($L$42=$BJ$3,$L$42=$BK$3,$L$42=$BL$3,$L$42=$BM$3),$G$42=$CA$70),CC70,IF(AND($C$42=$AH$4,OR($L$42=$BJ$3,$L$42=$BK$3,$L$42=$BL$3,$L$42=$BM$3),$G$42=$CA$71),CC71,IF(AND($C$42=$AH$4,OR($L$42=$BJ$3,$L$42=$BK$3,$L$42=$BL$3,$L$42=$BM$3),$G$42=$CA$72),CC72,IF(AND($C$42=$AH$4,OR($L$42=$BJ$3,$L$42=$BK$3,$L$42=$BL$3,$L$42=$BM$3),$G$42=$CA$73),CC73,IF(AND($C$42=$AH$4,OR($L$42=$BJ$3,$L$42=$BK$3,$L$42=$BL$3,$L$42=$BM$3),$G$42=$CA$74),CC74,IF(AND($C$42=$AH$4,OR($L$42=$BJ$3,$L$42=$BK$3,$L$42=$BL$3,$L$42=$BM$3),$G$42=$CA$75),CC75,IF(AND($C$42=$AH$4,OR($L$42=$BJ$3,$L$42=$BK$3,$L$42=$BL$3,$L$42=$BM$3),$G$42=$CA$76),CC76,IF(AND($C$42=$AH$4,OR($L$42=$BJ$3,$L$42=$BK$3,$L$42=$BL$3,$L$42=$BM$3),$G$42=$CA$77),CC77,IF(AND($C$42=$AH$4,OR($L$42=$BJ$3,$L$42=$BK$3,$L$42=$BL$3,$L$42=$BM$3),$G$42=$CA$78),CC78,IF(AND($C$42=$AH$4,OR($L$42=$BJ$3,$L$42=$BK$3,$L$42=$BL$3,$L$42=$BM$3),$G$42=$CA$79),CC79,IF(AND($C$42=$AH$4,OR($L$42=$BJ$3,$L$42=$BK$3,$L$42=$BL$3,$L$42=$BM$3),$G$42=$CA$80),CC80,IF(AND($C$42=$AH$4,OR($L$42=$BJ$3,$L$42=$BK$3,$L$42=$BL$3,$L$42=$BM$3),$G$42=$CA$81),CC81,IF(AND($C$42=$AH$4,OR($L$42=$BJ$3,$L$42=$BK$3,$L$42=$BL$3,$L$42=$BM$3),$G$42=$CA$82),CC82,IF(AND($C$42=$AH$4,OR($L$42=$BJ$3,$L$42=$BK$3,$L$42=$BL$3,$L$42=$BM$3),$G$42=$CA$83),CC83,0)))))))))))))))))</f>
        <v>0</v>
      </c>
      <c r="BK7" s="383">
        <f>IF(AND($C$42=$AH$4,OR($L$42=$BK$3,$L$42=$BL$3,$L$42=$BM$3),$G$42=$CA$67),CD67,IF(AND($C$42=$AH$4,OR($L$42=$BK$3,$L$42=$BL$3,$L$42=$BM$3),$G$42=$CA$68),CD68,IF(AND($C$42=$AH$4,OR($L$42=$BK$3,$L$42=$BL$3,$L$42=$BM$3),$G$42=$CA$69),CD69,IF(AND($C$42=$AH$4,OR($L$42=$BK$3,$L$42=$BL$3,$L$42=$BM$3),$G$42=$CA$70),CD70,IF(AND($C$42=$AH$4,OR($L$42=$BK$3,$L$42=$BL$3,$L$42=$BM$3),$G$42=$CA$71),CD71,IF(AND($C$42=$AH$4,OR($L$42=$BK$3,$L$42=$BL$3,$L$42=$BM$3),$G$42=$CA$72),CD72,IF(AND($C$42=$AH$4,OR($L$42=$BK$3,$L$42=$BL$3,$L$42=$BM$3),$G$42=$CA$73),CD73,IF(AND($C$42=$AH$4,OR($L$42=$BK$3,$L$42=$BL$3,$L$42=$BM$3),$G$42=$CA$74),CD74,IF(AND($C$42=$AH$4,OR($L$42=$BK$3,$L$42=$BL$3,$L$42=$BM$3),$G$42=$CA$75),CD75,IF(AND($C$42=$AH$4,OR($L$42=$BK$3,$L$42=$BL$3,$L$42=$BM$3),$G$42=$CA$76),CD76,IF(AND($C$42=$AH$4,OR($L$42=$BK$3,$L$42=$BL$3,$L$42=$BM$3),$G$42=$CA$77),CD77,IF(AND($C$42=$AH$4,OR($L$42=$BK$3,$L$42=$BL$3,$L$42=$BM$3),$G$42=$CA$78),CD78,IF(AND($C$42=$AH$4,OR($L$42=$BK$3,$L$42=$BL$3,$L$42=$BM$3),$G$42=$CA$79),CD79,IF(AND($C$42=$AH$4,OR($L$42=$BK$3,$L$42=$BL$3,$L$42=$BM$3),$G$42=$CA$80),CD80,IF(AND($C$42=$AH$4,OR($L$42=$BK$3,$L$42=$BL$3,$L$42=$BM$3),$G$42=$CA$81),CD81,IF(AND($C$42=$AH$4,OR($L$42=$BK$3,$L$42=$BL$3,$L$42=$BM$3),$G$42=$CA$82),CD82,IF(AND($C$42=$AH$4,OR($L$42=$BK$3,$L$42=$BL$3,$L$42=$BM$3),$G$42=$CA$83),CD83,0)))))))))))))))))</f>
        <v>0</v>
      </c>
      <c r="BL7" s="383">
        <f>IF(AND($C$42=$AH$4,OR($L$42=$BL$3,$L$42=$BM$3),$G$42=$CA$67),CE67,IF(AND($C$42=$AH$4,OR($L$42=$BL$3,$L$42=$BM$3),$G$42=$CA$68),CE68,IF(AND($C$42=$AH$4,OR($L$42=$BL$3,$L$42=$BM$3),$G$42=$CA$69),CE69,IF(AND($C$42=$AH$4,OR($L$42=$BL$3,$L$42=$BM$3),$G$42=$CA$70),CE70,IF(AND($C$42=$AH$4,OR($L$42=$BL$3,$L$42=$BM$3),$G$42=$CA$71),CE71,IF(AND($C$42=$AH$4,OR($L$42=$BL$3,$L$42=$BM$3),$G$42=$CA$72),CE72,IF(AND($C$42=$AH$4,OR($L$42=$BL$3,$L$42=$BM$3),$G$42=$CA$73),CE73,IF(AND($C$42=$AH$4,OR($L$42=$BL$3,$L$42=$BM$3),$G$42=$CA$74),CE74,IF(AND($C$42=$AH$4,OR($L$42=$BL$3,$L$42=$BM$3),$G$42=$CA$75),CE75,IF(AND($C$42=$AH$4,OR($L$42=$BL$3,$L$42=$BM$3),$G$42=$CA$76),CE76,IF(AND($C$42=$AH$4,OR($L$42=$BL$3,$L$42=$BM$3),$G$42=$CA$77),CE77,IF(AND($C$42=$AH$4,OR($L$42=$BL$3,$L$42=$BM$3),$G$42=$CA$78),CE78,IF(AND($C$42=$AH$4,OR($L$42=$BL$3,$L$42=$BM$3),$G$42=$CA$79),CE79,IF(AND($C$42=$AH$4,OR($L$42=$BL$3,$L$42=$BM$3),$G$42=$CA$80),CE80,IF(AND($C$42=$AH$4,OR($L$42=$BL$3,$L$42=$BM$3),$G$42=$CA$81),CE81,IF(AND($C$42=$AH$4,OR($L$42=$BL$3,$L$42=$BM$3),$G$42=$CA$82),CE82,IF(AND($C$42=$AH$4,OR($L$42=$BL$3,$L$42=$BM$3),$G$42=$CA$83),CE83,0)))))))))))))))))</f>
        <v>0</v>
      </c>
      <c r="BM7" s="383">
        <f>IF(AND($C$42=$AH$4,OR($L$42=$BM$3),$G$42=$CA$67),CF67,IF(AND($C$42=$AH$4,OR($L$42=$BM$3),$G$42=$CA$68),CF68,IF(AND($C$42=$AH$4,OR($L$42=$BM$3),$G$42=$CA$69),CF69,IF(AND($C$42=$AH$4,OR($L$42=$BM$3),$G$42=$CA$70),CF70,IF(AND($C$42=$AH$4,OR($L$42=$BM$3),$G$42=$CA$71),CF71,IF(AND($C$42=$AH$4,OR($L$42=$BM$3),$G$42=$CA$72),CF72,IF(AND($C$42=$AH$4,OR($L$42=$BM$3),$G$42=$CA$73),CF73,IF(AND($C$42=$AH$4,OR($L$42=$BM$3),$G$42=$CA$74),CF74,IF(AND($C$42=$AH$4,OR($L$42=$BM$3),$G$42=$CA$75),CF75,IF(AND($C$42=$AH$4,OR($L$42=$BM$3),$G$42=$CA$76),CF76,IF(AND($C$42=$AH$4,OR($L$42=$BM$3),$G$42=$CA$77),CF77,IF(AND($C$42=$AH$4,OR($L$42=$BM$3),$G$42=$CA$78),CF78,IF(AND($C$42=$AH$4,OR($L$42=$BM$3),$G$42=$CA$79),CF79,IF(AND($C$42=$AH$4,OR($L$42=$BM$3),$G$42=$CA$80),CF80,IF(AND($C$42=$AH$4,OR($L$42=$BM$3),$G$42=$CA$81),CF81,IF(AND($C$42=$AH$4,OR($L$42=$BM$3),$G$42=$CA$82),CF82,IF(AND($C$42=$AH$4,OR($L$42=$BM$3),$G$42=$CA$83),CF83,0)))))))))))))))))</f>
        <v>0</v>
      </c>
      <c r="BN7" s="233"/>
      <c r="BO7" s="233"/>
      <c r="BP7" s="243"/>
      <c r="BQ7" s="243"/>
      <c r="BR7" s="243"/>
      <c r="BS7" s="243"/>
      <c r="BT7" s="243"/>
      <c r="BU7" s="243"/>
      <c r="BV7" s="243"/>
      <c r="BW7" s="243"/>
      <c r="BX7" s="243"/>
      <c r="BY7" s="243"/>
      <c r="BZ7" s="236"/>
      <c r="CA7" s="493" t="s">
        <v>852</v>
      </c>
      <c r="CB7" s="480" t="s">
        <v>847</v>
      </c>
      <c r="CC7" s="493" t="s">
        <v>1573</v>
      </c>
      <c r="CD7" s="480"/>
      <c r="CE7" s="480"/>
      <c r="CF7" s="480" t="s">
        <v>1575</v>
      </c>
      <c r="CG7" s="233"/>
      <c r="CH7" s="233"/>
      <c r="CI7" s="233"/>
      <c r="CJ7" s="233"/>
      <c r="CK7" s="233"/>
      <c r="CL7" s="233"/>
      <c r="CM7" s="233"/>
      <c r="CN7" s="361" t="str">
        <f t="shared" si="2"/>
        <v xml:space="preserve"> </v>
      </c>
      <c r="CO7" s="361" t="str">
        <f t="shared" si="3"/>
        <v xml:space="preserve"> </v>
      </c>
      <c r="CP7" s="361" t="str">
        <f t="shared" si="4"/>
        <v xml:space="preserve"> </v>
      </c>
      <c r="CQ7" s="361" t="str">
        <f t="shared" si="5"/>
        <v xml:space="preserve"> </v>
      </c>
      <c r="CR7" s="361" t="str">
        <f t="shared" si="6"/>
        <v xml:space="preserve"> </v>
      </c>
      <c r="CS7" s="233" t="s">
        <v>915</v>
      </c>
      <c r="CT7" s="233"/>
      <c r="CU7" s="233"/>
      <c r="CV7" s="233" t="s">
        <v>936</v>
      </c>
      <c r="CW7" s="233"/>
      <c r="CX7" s="233"/>
      <c r="CY7" s="233" t="s">
        <v>944</v>
      </c>
      <c r="CZ7" s="233"/>
      <c r="DA7" s="233" t="s">
        <v>944</v>
      </c>
      <c r="DB7" s="233"/>
      <c r="DC7" s="233" t="s">
        <v>976</v>
      </c>
      <c r="DD7" s="233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421" t="s">
        <v>1627</v>
      </c>
      <c r="DT7" s="422">
        <v>1150</v>
      </c>
      <c r="DU7" s="420">
        <v>1</v>
      </c>
      <c r="DV7" s="420">
        <v>15</v>
      </c>
      <c r="DW7" s="420">
        <v>4</v>
      </c>
      <c r="DX7" s="420"/>
      <c r="DY7" s="420">
        <v>27</v>
      </c>
      <c r="DZ7" s="420" t="s">
        <v>1157</v>
      </c>
      <c r="EA7" s="29"/>
      <c r="EB7" s="413" t="str">
        <f t="shared" si="14"/>
        <v>Scorpion Light</v>
      </c>
      <c r="EC7" s="409">
        <f t="shared" si="15"/>
        <v>1</v>
      </c>
      <c r="ED7" s="432">
        <f t="shared" si="16"/>
        <v>15</v>
      </c>
      <c r="EE7" s="432">
        <f t="shared" si="17"/>
        <v>4</v>
      </c>
      <c r="EF7" s="432">
        <f t="shared" si="18"/>
        <v>0</v>
      </c>
      <c r="EG7" s="432">
        <f t="shared" si="19"/>
        <v>27</v>
      </c>
      <c r="EH7" s="97">
        <f t="shared" si="8"/>
        <v>0</v>
      </c>
      <c r="EI7" s="97">
        <f t="shared" si="9"/>
        <v>0</v>
      </c>
      <c r="EJ7" s="97">
        <f t="shared" si="10"/>
        <v>0</v>
      </c>
      <c r="EK7" s="97">
        <f t="shared" si="11"/>
        <v>0</v>
      </c>
      <c r="EL7" s="97">
        <f t="shared" si="12"/>
        <v>0</v>
      </c>
      <c r="EM7" s="29"/>
      <c r="EN7" s="343">
        <f>IF(AND(Y27=EA64,OR(AF27=EA70,AF27=EA71)),1,IF(AND(Y27=EA64,AF27=EA72),2,IF(AND(Y27=EA65,OR(AF27=EA69,AF27=EA70)),1,IF(AND(Y27=EA65,AF27=EA71),2,IF(AND(Y27=EA65,AF27=EA72),3,IF(AND(Y27=EA66,OR(AF27=EA68,AF27=EA69)),1,IF(AND(Y27=EA66,OR(AF27=EA70,AF27=EA71)),2,IF(AND(Y27=EA66,AF27=EA72),3,0))))))))</f>
        <v>0</v>
      </c>
      <c r="EO7" s="29"/>
      <c r="EP7" s="29"/>
      <c r="EQ7" s="29"/>
      <c r="ER7" s="339"/>
      <c r="ES7" s="339"/>
      <c r="ET7" s="417" t="str">
        <f t="shared" si="13"/>
        <v xml:space="preserve"> </v>
      </c>
      <c r="EU7" s="339"/>
      <c r="EV7" s="340"/>
      <c r="EW7" s="340"/>
      <c r="EX7" s="34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</row>
    <row r="8" spans="1:168" ht="15.95" customHeight="1" thickBot="1" x14ac:dyDescent="0.3">
      <c r="A8" s="128" t="s">
        <v>9</v>
      </c>
      <c r="B8" s="129">
        <f t="shared" ref="B8:B16" si="20">D8+F8+H8+J8+L8</f>
        <v>0</v>
      </c>
      <c r="C8" s="51" t="s">
        <v>6</v>
      </c>
      <c r="D8" s="130"/>
      <c r="E8" s="51" t="s">
        <v>7</v>
      </c>
      <c r="F8" s="130"/>
      <c r="G8" s="51" t="s">
        <v>7</v>
      </c>
      <c r="H8" s="130"/>
      <c r="I8" s="51" t="s">
        <v>7</v>
      </c>
      <c r="J8" s="130"/>
      <c r="K8" s="50" t="s">
        <v>7</v>
      </c>
      <c r="L8" s="132"/>
      <c r="M8" s="10"/>
      <c r="N8" s="27">
        <f t="shared" ref="N8:N16" si="21">IF(B8&lt;10,ROUNDUP((B8-10)/2,0),ROUNDDOWN((B8-10)/2,0))</f>
        <v>-5</v>
      </c>
      <c r="O8" s="29"/>
      <c r="P8" s="8"/>
      <c r="Q8" s="29"/>
      <c r="R8" s="1" t="s">
        <v>1</v>
      </c>
      <c r="S8" s="48"/>
      <c r="T8" s="1" t="s">
        <v>301</v>
      </c>
      <c r="U8" s="48"/>
      <c r="V8" s="1" t="s">
        <v>38</v>
      </c>
      <c r="W8" s="29"/>
      <c r="X8" s="30"/>
      <c r="Y8" s="30"/>
      <c r="Z8" s="30"/>
      <c r="AA8" s="30"/>
      <c r="AB8" s="30"/>
      <c r="AC8" s="30"/>
      <c r="AD8" s="30"/>
      <c r="AE8" s="30"/>
      <c r="AF8" s="29"/>
      <c r="AG8" s="29"/>
      <c r="AH8" s="29"/>
      <c r="AI8" s="29"/>
      <c r="AJ8" s="29">
        <v>2</v>
      </c>
      <c r="AK8" s="29"/>
      <c r="AL8" s="29">
        <v>6</v>
      </c>
      <c r="AM8" s="376" t="str">
        <f t="shared" si="0"/>
        <v xml:space="preserve"> </v>
      </c>
      <c r="AN8" s="29"/>
      <c r="AO8" s="382" t="s">
        <v>190</v>
      </c>
      <c r="AP8" s="468">
        <f>IF(C42=$AH$1,BB26,IF(C42=$AH$2,BB60,IF(C42=$AH$3,BB91,IF(C42=$AH$4,BB122,IF(C42=$AH$5,BB153,IF(C42=$AH$6,BB184,0))))))</f>
        <v>0</v>
      </c>
      <c r="AQ8" s="468"/>
      <c r="AR8" s="29"/>
      <c r="AS8" s="29">
        <v>6</v>
      </c>
      <c r="AT8" s="375" t="s">
        <v>855</v>
      </c>
      <c r="AU8" s="375" t="s">
        <v>796</v>
      </c>
      <c r="AV8" s="375" t="s">
        <v>797</v>
      </c>
      <c r="AW8" s="375">
        <v>20</v>
      </c>
      <c r="AX8" s="375">
        <v>3</v>
      </c>
      <c r="AY8" s="375">
        <v>9</v>
      </c>
      <c r="AZ8" s="375" t="s">
        <v>1551</v>
      </c>
      <c r="BA8" s="375">
        <v>1</v>
      </c>
      <c r="BB8" s="375">
        <v>-3</v>
      </c>
      <c r="BC8" s="375">
        <v>6</v>
      </c>
      <c r="BD8" s="375">
        <v>50</v>
      </c>
      <c r="BE8" s="375">
        <v>4</v>
      </c>
      <c r="BF8" s="375">
        <v>5</v>
      </c>
      <c r="BG8" s="233"/>
      <c r="BH8" s="243"/>
      <c r="BI8" s="409" t="s">
        <v>1536</v>
      </c>
      <c r="BJ8" s="383">
        <f>IF(AND($C$42=$AH$5,OR($L$42=$BJ$3,$L$42=$BK$3,$L$42=$BL$3,$L$42=$BM$3),$G$42=$CA$88),CC88,IF(AND($C$42=$AH$5,OR($L$42=$BJ$3,$L$42=$BK$3,$L$42=$BL$3,$L$42=$BM$3),$G$42=$CA$89),CC89,IF(AND($C$42=$AH$5,OR($L$42=$BJ$3,$L$42=$BK$3,$L$42=$BL$3,$L$42=$BM$3),$G$42=$CA$90),CC90,IF(AND($C$42=$AH$5,OR($L$42=$BJ$3,$L$42=$BK$3,$L$42=$BL$3,$L$42=$BM$3),$G$42=$CA$91),CC91,IF(AND($C$42=$AH$5,OR($L$42=$BJ$3,$L$42=$BK$3,$L$42=$BL$3,$L$42=$BM$3),$G$42=$CA$92),CC92,IF(AND($C$42=$AH$5,OR($L$42=$BJ$3,$L$42=$BK$3,$L$42=$BL$3,$L$42=$BM$3),$G$42=$CA$93),CC93,IF(AND($C$42=$AH$5,OR($L$42=$BJ$3,$L$42=$BK$3,$L$42=$BL$3,$L$42=$BM$3),$G$42=$CA$94),CC94,IF(AND($C$42=$AH$5,OR($L$42=$BJ$3,$L$42=$BK$3,$L$42=$BL$3,$L$42=$BM$3),$G$42=$CA$95),CC95,IF(AND($C$42=$AH$5,OR($L$42=$BJ$3,$L$42=$BK$3,$L$42=$BL$3,$L$42=$BM$3),$G$42=$CA$96),CC96,IF(AND($C$42=$AH$5,OR($L$42=$BJ$3,$L$42=$BK$3,$L$42=$BL$3,$L$42=$BM$3),$G$42=$CA$97),CC97,IF(AND($C$42=$AH$5,OR($L$42=$BJ$3,$L$42=$BK$3,$L$42=$BL$3,$L$42=$BM$3),$G$42=$CA$98),CC98,IF(AND($C$42=$AH$5,OR($L$42=$BJ$3,$L$42=$BK$3,$L$42=$BL$3,$L$42=$BM$3),$G$42=$CA$99),CC99,IF(AND($C$42=$AH$5,OR($L$42=$BJ$3,$L$42=$BK$3,$L$42=$BL$3,$L$42=$BM$3),$G$42=$CA$100),CC100,IF(AND($C$42=$AH$5,OR($L$42=$BJ$3,$L$42=$BK$3,$L$42=$BL$3,$L$42=$BM$3),$G$42=$CA$101),CC101,IF(AND($C$42=$AH$5,OR($L$42=$BJ$3,$L$42=$BK$3,$L$42=$BL$3,$L$42=$BM$3),$G$42=$CA$102),CC102,IF(AND($C$42=$AH$5,OR($L$42=$BJ$3,$L$42=$BK$3,$L$42=$BL$3,$L$42=$BM$3),$G$42=$CA$103),CC103,IF(AND($C$42=$AH$5,OR($L$42=$BJ$3,$L$42=$BK$3,$L$42=$BL$3,$L$42=$BM$3),$G$42=$CA$104),CC104,IF(AND($C$42=$AH$5,OR($L$42=$BJ$3,$L$42=$BK$3,$L$42=$BL$3,$L$42=$BM$3),$G$42=$CA$105),CC105,0))))))))))))))))))</f>
        <v>0</v>
      </c>
      <c r="BK8" s="383">
        <f>IF(AND($C$42=$AH$5,OR($L$42=$BK$3,$L$42=$BL$3,$L$42=$BM$3),$G$42=$CA$88),CD88,IF(AND($C$42=$AH$5,OR($L$42=$BK$3,$L$42=$BL$3,$L$42=$BM$3),$G$42=$CA$89),CD89,IF(AND($C$42=$AH$5,OR($L$42=$BK$3,$L$42=$BL$3,$L$42=$BM$3),$G$42=$CA$90),CD90,IF(AND($C$42=$AH$5,OR($L$42=$BK$3,$L$42=$BL$3,$L$42=$BM$3),$G$42=$CA$91),CD91,IF(AND($C$42=$AH$5,OR($L$42=$BK$3,$L$42=$BL$3,$L$42=$BM$3),$G$42=$CA$92),CD92,IF(AND($C$42=$AH$5,OR($L$42=$BK$3,$L$42=$BL$3,$L$42=$BM$3),$G$42=$CA$93),CD93,IF(AND($C$42=$AH$5,OR($L$42=$BK$3,$L$42=$BL$3,$L$42=$BM$3),$G$42=$CA$94),CD94,IF(AND($C$42=$AH$5,OR($L$42=$BK$3,$L$42=$BL$3,$L$42=$BM$3),$G$42=$CA$95),CD95,IF(AND($C$42=$AH$5,OR($L$42=$BK$3,$L$42=$BL$3,$L$42=$BM$3),$G$42=$CA$96),CD96,IF(AND($C$42=$AH$5,OR($L$42=$BK$3,$L$42=$BL$3,$L$42=$BM$3),$G$42=$CA$97),CD97,IF(AND($C$42=$AH$5,OR($L$42=$BK$3,$L$42=$BL$3,$L$42=$BM$3),$G$42=$CA$98),CD98,IF(AND($C$42=$AH$5,OR($L$42=$BK$3,$L$42=$BL$3,$L$42=$BM$3),$G$42=$CA$99),CD99,IF(AND($C$42=$AH$5,OR($L$42=$BK$3,$L$42=$BL$3,$L$42=$BM$3),$G$42=$CA$100),CD100,IF(AND($C$42=$AH$5,OR($L$42=$BK$3,$L$42=$BL$3,$L$42=$BM$3),$G$42=$CA$101),CD101,IF(AND($C$42=$AH$5,OR($L$42=$BK$3,$L$42=$BL$3,$L$42=$BM$3),$G$42=$CA$102),CD102,IF(AND($C$42=$AH$5,OR($L$42=$BK$3,$L$42=$BL$3,$L$42=$BM$3),$G$42=$CA$103),CD103,IF(AND($C$42=$AH$5,OR($L$42=$BK$3,$L$42=$BL$3,$L$42=$BM$3),$G$42=$CA$104),CD104,IF(AND($C$42=$AH$5,OR($L$42=$BK$3,$L$42=$BL$3,$L$42=$BM$3),$G$42=$CA$105),CD105,0))))))))))))))))))</f>
        <v>0</v>
      </c>
      <c r="BL8" s="383">
        <f>IF(AND($C$42=$AH$5,OR($L$42=$BL$3,$L$42=$BM$3),$G$42=$CA$88),CE88,IF(AND($C$42=$AH$5,OR($L$42=$BL$3,$L$42=$BM$3),$G$42=$CA$89),CE89,IF(AND($C$42=$AH$5,OR($L$42=$BL$3,$L$42=$BM$3),$G$42=$CA$90),CE90,IF(AND($C$42=$AH$5,OR($L$42=$BL$3,$L$42=$BM$3),$G$42=$CA$91),CE91,IF(AND($C$42=$AH$5,OR($L$42=$BL$3,$L$42=$BM$3),$G$42=$CA$92),CE92,IF(AND($C$42=$AH$5,OR($L$42=$BL$3,$L$42=$BM$3),$G$42=$CA$93),CE93,IF(AND($C$42=$AH$5,OR($L$42=$BL$3,$L$42=$BM$3),$G$42=$CA$94),CE94,IF(AND($C$42=$AH$5,OR($L$42=$BL$3,$L$42=$BM$3),$G$42=$CA$95),CE95,IF(AND($C$42=$AH$5,OR($L$42=$BL$3,$L$42=$BM$3),$G$42=$CA$96),CE96,IF(AND($C$42=$AH$5,OR($L$42=$BL$3,$L$42=$BM$3),$G$42=$CA$97),CE97,IF(AND($C$42=$AH$5,OR($L$42=$BL$3,$L$42=$BM$3),$G$42=$CA$98),CE98,IF(AND($C$42=$AH$5,OR($L$42=$BL$3,$L$42=$BM$3),$G$42=$CA$99),CE99,IF(AND($C$42=$AH$5,OR($L$42=$BL$3,$L$42=$BM$3),$G$42=$CA$100),CE100,IF(AND($C$42=$AH$5,OR($L$42=$BL$3,$L$42=$BM$3),$G$42=$CA$101),CE101,IF(AND($C$42=$AH$5,OR($L$42=$BL$3,$L$42=$BM$3),$G$42=$CA$102),CE102,IF(AND($C$42=$AH$5,OR($L$42=$BL$3,$L$42=$BM$3),$G$42=$CA$103),CE103,IF(AND($C$42=$AH$5,OR($L$42=$BL$3,$L$42=$BM$3),$G$42=$CA$104),CE104,IF(AND($C$42=$AH$5,OR($L$42=$BL$3,$L$42=$BM$3),$G$42=$CA$105),CE105,0))))))))))))))))))</f>
        <v>0</v>
      </c>
      <c r="BM8" s="383">
        <f>IF(AND($C$42=$AH$5,OR($L$42=$BM$3),$G$42=$CA$88),CF88,IF(AND($C$42=$AH$5,OR($L$42=$BM$3),$G$42=$CA$89),CF89,IF(AND($C$42=$AH$5,OR($L$42=$BM$3),$G$42=$CA$90),CF90,IF(AND($C$42=$AH$5,OR($L$42=$BM$3),$G$42=$CA$91),CF91,IF(AND($C$42=$AH$5,OR($L$42=$BM$3),$G$42=$CA$92),CF92,IF(AND($C$42=$AH$5,OR($L$42=$BM$3),$G$42=$CA$93),CF93,IF(AND($C$42=$AH$5,OR($L$42=$BM$3),$G$42=$CA$94),CF94,IF(AND($C$42=$AH$5,OR($L$42=$BM$3),$G$42=$CA$95),CF95,IF(AND($C$42=$AH$5,OR($L$42=$BM$3),$G$42=$CA$96),CF96,IF(AND($C$42=$AH$5,OR($L$42=$BM$3),$G$42=$CA$97),CF97,IF(AND($C$42=$AH$5,OR($L$42=$BM$3),$G$42=$CA$98),CF98,IF(AND($C$42=$AH$5,OR($L$42=$BM$3),$G$42=$CA$99),CF99,IF(AND($C$42=$AH$5,OR($L$42=$BM$3),$G$42=$CA$100),CF100,IF(AND($C$42=$AH$5,OR($L$42=$BM$3),$G$42=$CA$101),CF101,IF(AND($C$42=$AH$5,OR($L$42=$BM$3),$G$42=$CA$102),CF102,IF(AND($C$42=$AH$5,OR($L$42=$BM$3),$G$42=$CA$103),CF103,IF(AND($C$42=$AH$5,OR($L$42=$BM$3),$G$42=$CA$104),CF104,IF(AND($C$42=$AH$5,OR($L$42=$BM$3),$G$42=$CA$105),CF105,0))))))))))))))))))</f>
        <v>0</v>
      </c>
      <c r="BN8" s="233"/>
      <c r="BO8" s="233"/>
      <c r="BP8" s="243"/>
      <c r="BQ8" s="243"/>
      <c r="BR8" s="243"/>
      <c r="BS8" s="243"/>
      <c r="BT8" s="243"/>
      <c r="BU8" s="243"/>
      <c r="BV8" s="243"/>
      <c r="BW8" s="243"/>
      <c r="BX8" s="243"/>
      <c r="BY8" s="243"/>
      <c r="BZ8" s="236"/>
      <c r="CA8" s="493"/>
      <c r="CB8" s="480"/>
      <c r="CC8" s="493"/>
      <c r="CD8" s="480"/>
      <c r="CE8" s="480"/>
      <c r="CF8" s="480"/>
      <c r="CG8" s="233"/>
      <c r="CH8" s="233"/>
      <c r="CI8" s="233"/>
      <c r="CJ8" s="233"/>
      <c r="CK8" s="233"/>
      <c r="CL8" s="233"/>
      <c r="CM8" s="233"/>
      <c r="CN8" s="361" t="str">
        <f t="shared" si="2"/>
        <v xml:space="preserve"> </v>
      </c>
      <c r="CO8" s="361" t="str">
        <f t="shared" si="3"/>
        <v xml:space="preserve"> </v>
      </c>
      <c r="CP8" s="361" t="str">
        <f t="shared" si="4"/>
        <v xml:space="preserve"> </v>
      </c>
      <c r="CQ8" s="361" t="str">
        <f t="shared" si="5"/>
        <v xml:space="preserve"> </v>
      </c>
      <c r="CR8" s="361" t="str">
        <f t="shared" si="6"/>
        <v xml:space="preserve"> </v>
      </c>
      <c r="CS8" s="233" t="s">
        <v>916</v>
      </c>
      <c r="CT8" s="233"/>
      <c r="CU8" s="233"/>
      <c r="CV8" s="233" t="s">
        <v>937</v>
      </c>
      <c r="CW8" s="233"/>
      <c r="CX8" s="233"/>
      <c r="CY8" s="233" t="s">
        <v>945</v>
      </c>
      <c r="CZ8" s="233"/>
      <c r="DA8" s="233" t="s">
        <v>957</v>
      </c>
      <c r="DB8" s="233"/>
      <c r="DC8" s="233" t="s">
        <v>977</v>
      </c>
      <c r="DD8" s="233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419" t="s">
        <v>1628</v>
      </c>
      <c r="DT8" s="422">
        <v>1340</v>
      </c>
      <c r="DU8" s="420">
        <v>1</v>
      </c>
      <c r="DV8" s="420">
        <v>0</v>
      </c>
      <c r="DW8" s="420">
        <v>4</v>
      </c>
      <c r="DX8" s="423" t="s">
        <v>1159</v>
      </c>
      <c r="DY8" s="420">
        <v>22</v>
      </c>
      <c r="DZ8" s="420" t="s">
        <v>1596</v>
      </c>
      <c r="EA8" s="29">
        <v>4</v>
      </c>
      <c r="EB8" s="413" t="str">
        <f t="shared" si="14"/>
        <v>Maverick Light</v>
      </c>
      <c r="EC8" s="409">
        <f t="shared" si="15"/>
        <v>1</v>
      </c>
      <c r="ED8" s="432">
        <f t="shared" si="16"/>
        <v>0</v>
      </c>
      <c r="EE8" s="432">
        <f t="shared" si="17"/>
        <v>4</v>
      </c>
      <c r="EF8" s="432" t="str">
        <f t="shared" si="18"/>
        <v>V; C; S; A; L</v>
      </c>
      <c r="EG8" s="432">
        <f t="shared" si="19"/>
        <v>22</v>
      </c>
      <c r="EH8" s="97">
        <f t="shared" si="8"/>
        <v>0</v>
      </c>
      <c r="EI8" s="97">
        <f t="shared" si="9"/>
        <v>0</v>
      </c>
      <c r="EJ8" s="97">
        <f t="shared" si="10"/>
        <v>0</v>
      </c>
      <c r="EK8" s="97">
        <f t="shared" si="11"/>
        <v>0</v>
      </c>
      <c r="EL8" s="97">
        <f t="shared" si="12"/>
        <v>0</v>
      </c>
      <c r="EM8" s="29"/>
      <c r="EN8" s="29"/>
      <c r="EO8" s="29"/>
      <c r="EP8" s="29"/>
      <c r="EQ8" s="29"/>
      <c r="ER8" s="339"/>
      <c r="ES8" s="339"/>
      <c r="ET8" s="417" t="str">
        <f t="shared" si="13"/>
        <v xml:space="preserve"> </v>
      </c>
      <c r="EU8" s="339"/>
      <c r="EV8" s="340"/>
      <c r="EW8" s="340"/>
      <c r="EX8" s="34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</row>
    <row r="9" spans="1:168" ht="15.95" customHeight="1" thickBot="1" x14ac:dyDescent="0.3">
      <c r="A9" s="566" t="s">
        <v>10</v>
      </c>
      <c r="B9" s="566"/>
      <c r="C9" s="566"/>
      <c r="D9" s="566"/>
      <c r="E9" s="566"/>
      <c r="F9" s="566"/>
      <c r="G9" s="566"/>
      <c r="H9" s="566"/>
      <c r="I9" s="566"/>
      <c r="J9" s="566"/>
      <c r="K9" s="566"/>
      <c r="L9" s="566"/>
      <c r="M9" s="566"/>
      <c r="N9" s="566"/>
      <c r="O9" s="29"/>
      <c r="P9" s="570" t="s">
        <v>47</v>
      </c>
      <c r="Q9" s="571"/>
      <c r="R9" s="19">
        <f>T9*V9</f>
        <v>120</v>
      </c>
      <c r="S9" s="17" t="s">
        <v>6</v>
      </c>
      <c r="T9" s="19">
        <f>Q5</f>
        <v>30</v>
      </c>
      <c r="U9" s="47" t="s">
        <v>46</v>
      </c>
      <c r="V9" s="19">
        <f>IF(AE2="Heavy",3,4)+IF(Feats!H48="yes",1,0)</f>
        <v>4</v>
      </c>
      <c r="X9" s="633" t="s">
        <v>135</v>
      </c>
      <c r="Y9" s="633"/>
      <c r="Z9" s="633"/>
      <c r="AA9" s="633"/>
      <c r="AB9" s="633"/>
      <c r="AC9" s="633"/>
      <c r="AD9" s="633"/>
      <c r="AE9" s="633"/>
      <c r="AF9" s="633"/>
      <c r="AG9" s="29"/>
      <c r="AH9" s="226" t="s">
        <v>170</v>
      </c>
      <c r="AI9" s="29"/>
      <c r="AJ9" s="29">
        <v>3</v>
      </c>
      <c r="AK9" s="29"/>
      <c r="AL9" s="29">
        <v>7</v>
      </c>
      <c r="AM9" s="376" t="str">
        <f t="shared" si="0"/>
        <v xml:space="preserve"> </v>
      </c>
      <c r="AN9" s="29"/>
      <c r="AO9" s="382" t="s">
        <v>191</v>
      </c>
      <c r="AP9" s="468">
        <f>ROUND((IF(C42=$AH$1,BC26,IF(C42=$AH$2,BC60,IF(C42=$AH$3,BC91,IF(C42=$AH$4,BC122,IF(C42=$AH$5,BC153,IF(C42=$AH$6,BC184,0))))))+IF(BJ9="Ammo +5",5,0)+IF(BK9="Ammo +5",5,0)+IF(BL9="Ammo +5",5,0)+IF(BM9="Ammo +5",5,0)+IF(BJ9="Ammo +6",6,0)+IF(BK9="Ammo +6",6,0)+IF(BL9="Ammo +6",6,0)+IF(BM9="Ammo +6",6,0))*(1+IF(N42=CS25,0.1,0)+IF(S42=CS25,0.1,0)+IF(W42=CS25,0.1,0)+IF(N42=CS26,0.2,0)+IF(S42=CS26,0.2,0)+IF(W42=CS26,0.2,0)+IF(N42=CS27,0.3,0)+IF(S42=CS27,0.3,0)+IF(W42=CS27,0.3,0)+IF(N42=CS28,0.4,0)+IF(S42=CS28,0.4,0)+IF(W42=CS28,0.4,0)+IF(N42=CS29,0.5,0)+IF(S42=CS29,0.5,0)+IF(W42=CS29,0.5,0)+IF(AB27=DS51,0.2,0)),0)</f>
        <v>0</v>
      </c>
      <c r="AQ9" s="468"/>
      <c r="AR9" s="29"/>
      <c r="AS9" s="29">
        <v>7</v>
      </c>
      <c r="AT9" s="375" t="s">
        <v>800</v>
      </c>
      <c r="AU9" s="375" t="s">
        <v>801</v>
      </c>
      <c r="AV9" s="375" t="s">
        <v>510</v>
      </c>
      <c r="AW9" s="375">
        <v>20</v>
      </c>
      <c r="AX9" s="375">
        <v>3</v>
      </c>
      <c r="AY9" s="375">
        <v>9</v>
      </c>
      <c r="AZ9" s="375" t="s">
        <v>1551</v>
      </c>
      <c r="BA9" s="375">
        <v>1</v>
      </c>
      <c r="BB9" s="375">
        <v>-3</v>
      </c>
      <c r="BC9" s="375">
        <v>4</v>
      </c>
      <c r="BD9" s="375">
        <v>50</v>
      </c>
      <c r="BE9" s="375">
        <v>4</v>
      </c>
      <c r="BF9" s="375">
        <v>5</v>
      </c>
      <c r="BG9" s="233"/>
      <c r="BH9" s="243"/>
      <c r="BI9" s="409" t="s">
        <v>1581</v>
      </c>
      <c r="BJ9" s="383">
        <f>IF(BJ4&gt;0,BJ4,IF(BJ5&gt;0,BJ5,IF(BJ6&gt;0,BJ6,IF(BJ7&gt;0,BJ7,IF(BJ8&gt;0,BJ8,0)))))</f>
        <v>0</v>
      </c>
      <c r="BK9" s="383">
        <f>IF(BK4&gt;0,BK4,IF(BK5&gt;0,BK5,IF(BK6&gt;0,BK6,IF(BK7&gt;0,BK7,IF(BK8&gt;0,BK8,0)))))</f>
        <v>0</v>
      </c>
      <c r="BL9" s="383">
        <f>IF(BL4&gt;0,BL4,IF(BL5&gt;0,BL5,IF(BL6&gt;0,BL6,IF(BL7&gt;0,BL7,IF(BL8&gt;0,BL8,0)))))</f>
        <v>0</v>
      </c>
      <c r="BM9" s="383">
        <f>IF(BM4&gt;0,BM4,IF(BM5&gt;0,BM5,IF(BM6&gt;0,BM6,IF(BM7&gt;0,BM7,IF(BM8&gt;0,BM8,0)))))</f>
        <v>0</v>
      </c>
      <c r="BN9" s="233"/>
      <c r="BO9" s="233"/>
      <c r="BP9" s="243"/>
      <c r="BQ9" s="243"/>
      <c r="BR9" s="243"/>
      <c r="BS9" s="243"/>
      <c r="BT9" s="243"/>
      <c r="BU9" s="243"/>
      <c r="BV9" s="243"/>
      <c r="BW9" s="243"/>
      <c r="BX9" s="243"/>
      <c r="BY9" s="243"/>
      <c r="BZ9" s="236"/>
      <c r="CA9" s="395" t="s">
        <v>853</v>
      </c>
      <c r="CB9" s="394" t="s">
        <v>847</v>
      </c>
      <c r="CC9" s="395" t="s">
        <v>1573</v>
      </c>
      <c r="CD9" s="394"/>
      <c r="CE9" s="394" t="s">
        <v>1574</v>
      </c>
      <c r="CF9" s="394"/>
      <c r="CG9" s="233"/>
      <c r="CH9" s="233"/>
      <c r="CI9" s="233"/>
      <c r="CJ9" s="233"/>
      <c r="CK9" s="233"/>
      <c r="CL9" s="233"/>
      <c r="CM9" s="233"/>
      <c r="CN9" s="361" t="str">
        <f t="shared" si="2"/>
        <v xml:space="preserve"> </v>
      </c>
      <c r="CO9" s="361" t="str">
        <f t="shared" si="3"/>
        <v xml:space="preserve"> </v>
      </c>
      <c r="CP9" s="361" t="str">
        <f t="shared" si="4"/>
        <v xml:space="preserve"> </v>
      </c>
      <c r="CQ9" s="361" t="str">
        <f t="shared" si="5"/>
        <v xml:space="preserve"> </v>
      </c>
      <c r="CR9" s="361" t="str">
        <f t="shared" si="6"/>
        <v xml:space="preserve"> </v>
      </c>
      <c r="CS9" s="233" t="s">
        <v>917</v>
      </c>
      <c r="CT9" s="233"/>
      <c r="CU9" s="233"/>
      <c r="CV9" s="233" t="s">
        <v>938</v>
      </c>
      <c r="CW9" s="233"/>
      <c r="CX9" s="233"/>
      <c r="CY9" s="233" t="s">
        <v>946</v>
      </c>
      <c r="CZ9" s="233"/>
      <c r="DA9" s="233" t="s">
        <v>959</v>
      </c>
      <c r="DB9" s="233"/>
      <c r="DC9" s="233" t="s">
        <v>1588</v>
      </c>
      <c r="DD9" s="233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421" t="s">
        <v>1186</v>
      </c>
      <c r="DT9" s="422">
        <v>1400</v>
      </c>
      <c r="DU9" s="420">
        <v>0</v>
      </c>
      <c r="DV9" s="420">
        <v>25</v>
      </c>
      <c r="DW9" s="420">
        <v>4</v>
      </c>
      <c r="DX9" s="420"/>
      <c r="DY9" s="420">
        <v>12</v>
      </c>
      <c r="DZ9" s="420" t="s">
        <v>1162</v>
      </c>
      <c r="EA9" s="29">
        <v>5</v>
      </c>
      <c r="EB9" s="413" t="str">
        <f t="shared" si="14"/>
        <v>Quarian Service Vest</v>
      </c>
      <c r="EC9" s="409">
        <f t="shared" si="15"/>
        <v>0</v>
      </c>
      <c r="ED9" s="432">
        <f t="shared" si="16"/>
        <v>25</v>
      </c>
      <c r="EE9" s="432">
        <f t="shared" si="17"/>
        <v>4</v>
      </c>
      <c r="EF9" s="432">
        <f t="shared" si="18"/>
        <v>0</v>
      </c>
      <c r="EG9" s="432">
        <f t="shared" si="19"/>
        <v>12</v>
      </c>
      <c r="EH9" s="97">
        <f t="shared" si="8"/>
        <v>0</v>
      </c>
      <c r="EI9" s="97">
        <f t="shared" si="9"/>
        <v>0</v>
      </c>
      <c r="EJ9" s="97">
        <f t="shared" si="10"/>
        <v>0</v>
      </c>
      <c r="EK9" s="97">
        <f t="shared" si="11"/>
        <v>0</v>
      </c>
      <c r="EL9" s="97">
        <f t="shared" si="12"/>
        <v>0</v>
      </c>
      <c r="EM9" s="29"/>
      <c r="EN9" s="29"/>
      <c r="EO9" s="29"/>
      <c r="EP9" s="29"/>
      <c r="EQ9" s="29"/>
      <c r="ER9" s="339"/>
      <c r="ES9" s="339"/>
      <c r="ET9" s="417" t="str">
        <f t="shared" si="13"/>
        <v xml:space="preserve"> </v>
      </c>
      <c r="EU9" s="339"/>
      <c r="EV9" s="340"/>
      <c r="EW9" s="340"/>
      <c r="EX9" s="34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</row>
    <row r="10" spans="1:168" ht="15.95" customHeight="1" thickBot="1" x14ac:dyDescent="0.3">
      <c r="A10" s="128" t="s">
        <v>11</v>
      </c>
      <c r="B10" s="129">
        <f t="shared" si="20"/>
        <v>0</v>
      </c>
      <c r="C10" s="51" t="s">
        <v>6</v>
      </c>
      <c r="D10" s="130"/>
      <c r="E10" s="51" t="s">
        <v>7</v>
      </c>
      <c r="F10" s="130"/>
      <c r="G10" s="51" t="s">
        <v>7</v>
      </c>
      <c r="H10" s="130"/>
      <c r="I10" s="50" t="s">
        <v>7</v>
      </c>
      <c r="J10" s="130"/>
      <c r="K10" s="50" t="s">
        <v>7</v>
      </c>
      <c r="L10" s="132"/>
      <c r="M10" s="10"/>
      <c r="N10" s="27">
        <f t="shared" si="21"/>
        <v>-5</v>
      </c>
      <c r="O10" s="29"/>
      <c r="P10" s="29"/>
      <c r="Q10" s="29"/>
      <c r="R10" s="1" t="s">
        <v>1</v>
      </c>
      <c r="S10" s="48"/>
      <c r="T10" s="1" t="s">
        <v>40</v>
      </c>
      <c r="U10" s="48"/>
      <c r="V10" s="1"/>
      <c r="W10" s="24"/>
      <c r="X10" s="374" t="s">
        <v>22</v>
      </c>
      <c r="Y10" s="374" t="s">
        <v>20</v>
      </c>
      <c r="Z10" s="625" t="s">
        <v>21</v>
      </c>
      <c r="AA10" s="625"/>
      <c r="AB10" s="374" t="s">
        <v>22</v>
      </c>
      <c r="AC10" s="374" t="s">
        <v>20</v>
      </c>
      <c r="AD10" s="374" t="s">
        <v>21</v>
      </c>
      <c r="AE10" s="29"/>
      <c r="AF10" s="632" t="s">
        <v>1539</v>
      </c>
      <c r="AG10" s="29"/>
      <c r="AH10" s="226" t="s">
        <v>422</v>
      </c>
      <c r="AI10" s="29"/>
      <c r="AJ10" s="29">
        <v>4</v>
      </c>
      <c r="AK10" s="29"/>
      <c r="AL10" s="29">
        <v>8</v>
      </c>
      <c r="AM10" s="376" t="str">
        <f t="shared" si="0"/>
        <v xml:space="preserve"> </v>
      </c>
      <c r="AN10" s="29"/>
      <c r="AO10" s="382" t="s">
        <v>583</v>
      </c>
      <c r="AP10" s="468">
        <f>MROUND((IF(C42=$AH$1,BD26,IF(C42=$AH$2,BD60,IF(C42=$AH$3,BD91,IF(C42=$AH$4,BD122,IF(C42=$AH$5,BD153,IF(C42=$AH$6,BD184,0))))))+IF(BJ9="Range +10",10,0)+IF(BK9="Range +10",10,0)+IF(BL9="Range +10",10,0)+IF(BM9="Range +10",10,0)+IF(BJ9="Range +5",5,0)+IF(BK9="Range +5",5,0)+IF(BL9="Range +5",5,0)+IF(BM9="Range +5",5,0))*(1+IF(N42=CS21,0.5,0)+IF(S42=CS21,0.5,0)+IF(W42=CS21,0.5,0)+IF(N42=DA8,0.1,0)+IF(S42=DA8,0.1,0)+IF(W42=DA8,0.1,0)+IF(N42=DA9,0.2,0)+IF(S42=DA9,0.2,0)+IF(W42=DA9,0.2,0)+IF(N42=DA10,0.3,0)+IF(S42=DA10,0.3,0)+IF(W42=DA10,0.3,0)+IF(N42=DA11,0.4,0)+IF(S42=DA11,0.4,0)+IF(W42=DA11,0.4,0)+IF(N42=DA12,0.5,0)+IF(S42=DA12,0.5,0)+IF(W42=DA12,0.5,0)+IF(N42=CV20,0.25,0)+IF(S42=CV20,0.25,0)+IF(W42=CV20,0.25,0)),5)</f>
        <v>0</v>
      </c>
      <c r="AQ10" s="468"/>
      <c r="AR10" s="29"/>
      <c r="AS10" s="29">
        <v>8</v>
      </c>
      <c r="AT10" s="375" t="s">
        <v>856</v>
      </c>
      <c r="AU10" s="375" t="s">
        <v>796</v>
      </c>
      <c r="AV10" s="375" t="s">
        <v>797</v>
      </c>
      <c r="AW10" s="375">
        <v>20</v>
      </c>
      <c r="AX10" s="375">
        <v>3</v>
      </c>
      <c r="AY10" s="375">
        <v>11</v>
      </c>
      <c r="AZ10" s="375" t="s">
        <v>1551</v>
      </c>
      <c r="BA10" s="375">
        <v>2</v>
      </c>
      <c r="BB10" s="375">
        <v>-3</v>
      </c>
      <c r="BC10" s="375">
        <v>4</v>
      </c>
      <c r="BD10" s="375">
        <v>20</v>
      </c>
      <c r="BE10" s="375">
        <f t="shared" si="1"/>
        <v>6</v>
      </c>
      <c r="BF10" s="375">
        <v>8</v>
      </c>
      <c r="BG10" s="233"/>
      <c r="BH10" s="243"/>
      <c r="BI10" s="409"/>
      <c r="BJ10" s="409"/>
      <c r="BK10" s="409"/>
      <c r="BL10" s="409"/>
      <c r="BM10" s="409"/>
      <c r="BN10" s="243"/>
      <c r="BO10" s="243"/>
      <c r="BP10" s="243"/>
      <c r="BQ10" s="243"/>
      <c r="BR10" s="243"/>
      <c r="BS10" s="243"/>
      <c r="BT10" s="243"/>
      <c r="BU10" s="243"/>
      <c r="BV10" s="243"/>
      <c r="BW10" s="243"/>
      <c r="BX10" s="243"/>
      <c r="BY10" s="243"/>
      <c r="BZ10" s="236"/>
      <c r="CA10" s="395" t="s">
        <v>1205</v>
      </c>
      <c r="CB10" s="394" t="s">
        <v>847</v>
      </c>
      <c r="CC10" s="395"/>
      <c r="CD10" s="394" t="s">
        <v>1575</v>
      </c>
      <c r="CE10" s="394"/>
      <c r="CF10" s="394"/>
      <c r="CG10" s="233"/>
      <c r="CH10" s="233"/>
      <c r="CI10" s="233"/>
      <c r="CJ10" s="233"/>
      <c r="CK10" s="233"/>
      <c r="CL10" s="233"/>
      <c r="CM10" s="233"/>
      <c r="CN10" s="361" t="str">
        <f t="shared" si="2"/>
        <v xml:space="preserve"> </v>
      </c>
      <c r="CO10" s="361" t="str">
        <f t="shared" si="3"/>
        <v xml:space="preserve"> </v>
      </c>
      <c r="CP10" s="361" t="str">
        <f t="shared" si="4"/>
        <v xml:space="preserve"> </v>
      </c>
      <c r="CQ10" s="361" t="str">
        <f t="shared" si="5"/>
        <v xml:space="preserve"> </v>
      </c>
      <c r="CR10" s="361" t="str">
        <f t="shared" si="6"/>
        <v xml:space="preserve"> </v>
      </c>
      <c r="CS10" s="233" t="s">
        <v>918</v>
      </c>
      <c r="CT10" s="233"/>
      <c r="CU10" s="233"/>
      <c r="CV10" s="233" t="s">
        <v>939</v>
      </c>
      <c r="CW10" s="233"/>
      <c r="CX10" s="233"/>
      <c r="CY10" s="233" t="s">
        <v>947</v>
      </c>
      <c r="CZ10" s="233"/>
      <c r="DA10" s="233" t="s">
        <v>960</v>
      </c>
      <c r="DB10" s="233"/>
      <c r="DC10" s="233" t="s">
        <v>920</v>
      </c>
      <c r="DD10" s="233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421" t="s">
        <v>1629</v>
      </c>
      <c r="DT10" s="422">
        <v>1500</v>
      </c>
      <c r="DU10" s="420">
        <v>0</v>
      </c>
      <c r="DV10" s="420">
        <v>20</v>
      </c>
      <c r="DW10" s="420">
        <v>5</v>
      </c>
      <c r="DX10" s="420"/>
      <c r="DY10" s="420">
        <v>21</v>
      </c>
      <c r="DZ10" s="420" t="s">
        <v>1158</v>
      </c>
      <c r="EA10" s="29">
        <v>6</v>
      </c>
      <c r="EB10" s="413" t="str">
        <f t="shared" si="14"/>
        <v>Silverback Light</v>
      </c>
      <c r="EC10" s="409">
        <f t="shared" si="15"/>
        <v>0</v>
      </c>
      <c r="ED10" s="432">
        <f t="shared" si="16"/>
        <v>20</v>
      </c>
      <c r="EE10" s="432">
        <f t="shared" si="17"/>
        <v>5</v>
      </c>
      <c r="EF10" s="432">
        <f t="shared" si="18"/>
        <v>0</v>
      </c>
      <c r="EG10" s="432">
        <f t="shared" si="19"/>
        <v>21</v>
      </c>
      <c r="EH10" s="97">
        <f t="shared" si="8"/>
        <v>0</v>
      </c>
      <c r="EI10" s="97">
        <f t="shared" si="9"/>
        <v>0</v>
      </c>
      <c r="EJ10" s="97">
        <f t="shared" si="10"/>
        <v>0</v>
      </c>
      <c r="EK10" s="97">
        <f t="shared" si="11"/>
        <v>0</v>
      </c>
      <c r="EL10" s="97">
        <f t="shared" si="12"/>
        <v>0</v>
      </c>
      <c r="EM10" s="29"/>
      <c r="EN10" s="29"/>
      <c r="EO10" s="29"/>
      <c r="EP10" s="29"/>
      <c r="EQ10" s="29"/>
      <c r="ER10" s="339"/>
      <c r="ES10" s="339"/>
      <c r="ET10" s="417" t="str">
        <f t="shared" si="13"/>
        <v xml:space="preserve"> </v>
      </c>
      <c r="EU10" s="339"/>
      <c r="EV10" s="340"/>
      <c r="EW10" s="340"/>
      <c r="EX10" s="34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</row>
    <row r="11" spans="1:168" ht="15.95" customHeight="1" thickBot="1" x14ac:dyDescent="0.3">
      <c r="A11" s="566" t="s">
        <v>12</v>
      </c>
      <c r="B11" s="566"/>
      <c r="C11" s="566"/>
      <c r="D11" s="566"/>
      <c r="E11" s="566"/>
      <c r="F11" s="566"/>
      <c r="G11" s="566"/>
      <c r="H11" s="566"/>
      <c r="I11" s="566"/>
      <c r="J11" s="566"/>
      <c r="K11" s="566"/>
      <c r="L11" s="566"/>
      <c r="M11" s="566"/>
      <c r="N11" s="566"/>
      <c r="O11" s="29"/>
      <c r="P11" s="570" t="s">
        <v>63</v>
      </c>
      <c r="Q11" s="571"/>
      <c r="R11" s="575">
        <f>B10</f>
        <v>0</v>
      </c>
      <c r="S11" s="575"/>
      <c r="T11" s="575"/>
      <c r="U11" s="575"/>
      <c r="V11" s="575"/>
      <c r="W11" s="30"/>
      <c r="X11" s="3" t="str">
        <f>IF($AF$7&gt;=AJ7,AJ7," ")</f>
        <v xml:space="preserve"> </v>
      </c>
      <c r="Y11" s="5" t="str">
        <f t="shared" ref="Y11:Y20" si="22">IF(X11=" "," ",CONCATENATE("1d",IF(OR($Y$7=$AH$9,$Y$7=$AH$10,$Y$7=$AH$12,$Y$7=$AH$16,$Y$7=$AH$20,$Y$7=$AH$21,$Y$7=$AH$22),6,IF(OR($Y$7=$AH$11,$Y$7=$AH$18,$Y$7=$AH$24,$Y$7=$AH$25,$Y$7=$AH$28,$Y$7=$AH$14,$Y$7=$AH$17,$Y$7=$AH$26,$Y$7=$AH$27),8,IF(OR($Y$7=$AH$19,$Y$7=$AH$23,$Y$7=$AH$13,$Y$7=$AH$15,$Y$7=$AH$29),10,0)))))</f>
        <v xml:space="preserve"> </v>
      </c>
      <c r="Z11" s="496"/>
      <c r="AA11" s="496"/>
      <c r="AB11" s="3" t="str">
        <f t="shared" ref="AB11:AB20" si="23">IF($AF$7&gt;=AJ17,AJ17," ")</f>
        <v xml:space="preserve"> </v>
      </c>
      <c r="AC11" s="5" t="str">
        <f t="shared" ref="AC11:AC20" si="24">IF(AB11=" "," ",CONCATENATE("1d",IF(OR($Y$7=$AH$9,$Y$7=$AH$10,$Y$7=$AH$12,$Y$7=$AH$16,$Y$7=$AH$20,$Y$7=$AH$21,$Y$7=$AH$22),6,IF(OR($Y$7=$AH$11,$Y$7=$AH$18,$Y$7=$AH$24,$Y$7=$AH$25,$Y$7=$AH$28,$Y$7=$AH$14,$Y$7=$AH$17,$Y$7=$AH$26,$Y$7=$AH$27),8,IF(OR($Y$7=$AH$19,$Y$7=$AH$23,$Y$7=$AH$13,$Y$7=$AH$15,$Y$7=$AH$29),10,0)))))</f>
        <v xml:space="preserve"> </v>
      </c>
      <c r="AD11" s="94"/>
      <c r="AE11" s="29"/>
      <c r="AF11" s="632"/>
      <c r="AG11" s="29"/>
      <c r="AH11" s="226" t="s">
        <v>171</v>
      </c>
      <c r="AI11" s="29"/>
      <c r="AJ11" s="29">
        <v>5</v>
      </c>
      <c r="AK11" s="29"/>
      <c r="AL11" s="29">
        <v>9</v>
      </c>
      <c r="AM11" s="376" t="str">
        <f t="shared" si="0"/>
        <v xml:space="preserve"> </v>
      </c>
      <c r="AN11" s="29"/>
      <c r="AO11" s="382" t="s">
        <v>771</v>
      </c>
      <c r="AP11" s="469">
        <f>(IF($B$2=$AI$28,IF(C42=$AH$1,BE26,IF(C42=$AH$2,BE60,IF(C42=$AH$3,BE91,IF(C42=$AH$4,BE122,IF(C42=$AH$5,BE153,IF(C42=$AH$6,BE184,0)))))),IF(C42=$AH$1,BF26,IF(C42=$AH$2,BF60,IF(C42=$AH$3,BF91,IF(C42=$AH$4,BF122,IF(C42=$AH$5,BF153,IF(C42=$AH$6,BF184,0))))))))*(1-IF(L42=$CB$5,0.05,IF(L42=$CC$5,0.1,IF(L42=$CD$5,0.15,IF(L42=$CE$5,0.2,IF(L42=$CF$5,0.25,0)))))+IF(OR(N42=CY13,N42=CY14,N42=CY15,N42=CY16,N42=CY17),0.25,0)+IF(OR(S42=CY13,S42=CY14,S42=CY15,S42=CY16,S42=CY17),0.25,0)+IF(OR(W42=CY13,W42=CY14,W42=CY15,W42=CY16,W42=CY17),0.25,0)-IF(N42=CS41,0.1,0)-IF(S42=CS41,0.1,0)-IF(W42=CS41,0.1,0)-IF(N42=CS42,0.2,0)-IF(S42=CS42,0.2,0)-IF(W42=CS42,0.2,0)-IF(N42=CS43,0.3,0)-IF(S42=CS43,0.3,0)-IF(W42=CS43,0.3,0)-IF(N42=CS44,0.4,0)-IF(S42=CS44,0.4,0)-IF(W42=CS44,0.4,0)-IF(N42=CS45,0.5,0)-IF(S42=CS45,0.5,0)-IF(W42=CS45,0.5,0))</f>
        <v>0</v>
      </c>
      <c r="AQ11" s="470"/>
      <c r="AR11" s="29"/>
      <c r="AS11" s="29">
        <v>9</v>
      </c>
      <c r="AT11" s="375" t="s">
        <v>857</v>
      </c>
      <c r="AU11" s="375" t="s">
        <v>541</v>
      </c>
      <c r="AV11" s="375" t="s">
        <v>509</v>
      </c>
      <c r="AW11" s="375">
        <v>20</v>
      </c>
      <c r="AX11" s="375">
        <v>3</v>
      </c>
      <c r="AY11" s="375">
        <v>9</v>
      </c>
      <c r="AZ11" s="375" t="s">
        <v>909</v>
      </c>
      <c r="BA11" s="375">
        <v>3</v>
      </c>
      <c r="BB11" s="375">
        <v>-3</v>
      </c>
      <c r="BC11" s="375">
        <v>18</v>
      </c>
      <c r="BD11" s="375">
        <v>30</v>
      </c>
      <c r="BE11" s="375">
        <f t="shared" si="1"/>
        <v>2</v>
      </c>
      <c r="BF11" s="375">
        <v>3</v>
      </c>
      <c r="BG11" s="233"/>
      <c r="BH11" s="243"/>
      <c r="BI11" s="409"/>
      <c r="BJ11" s="409"/>
      <c r="BK11" s="409"/>
      <c r="BL11" s="409"/>
      <c r="BM11" s="409"/>
      <c r="BN11" s="233"/>
      <c r="BO11" s="23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36"/>
      <c r="CA11" s="395" t="s">
        <v>798</v>
      </c>
      <c r="CB11" s="394" t="s">
        <v>847</v>
      </c>
      <c r="CC11" s="395" t="s">
        <v>1573</v>
      </c>
      <c r="CD11" s="394"/>
      <c r="CE11" s="394" t="s">
        <v>1574</v>
      </c>
      <c r="CF11" s="394" t="s">
        <v>1575</v>
      </c>
      <c r="CG11" s="233"/>
      <c r="CH11" s="233"/>
      <c r="CI11" s="233"/>
      <c r="CJ11" s="233"/>
      <c r="CK11" s="233"/>
      <c r="CL11" s="233"/>
      <c r="CM11" s="233"/>
      <c r="CN11" s="361" t="str">
        <f t="shared" si="2"/>
        <v xml:space="preserve"> </v>
      </c>
      <c r="CO11" s="361" t="str">
        <f t="shared" si="3"/>
        <v xml:space="preserve"> </v>
      </c>
      <c r="CP11" s="361" t="str">
        <f t="shared" si="4"/>
        <v xml:space="preserve"> </v>
      </c>
      <c r="CQ11" s="361" t="str">
        <f t="shared" si="5"/>
        <v xml:space="preserve"> </v>
      </c>
      <c r="CR11" s="361" t="str">
        <f t="shared" si="6"/>
        <v xml:space="preserve"> </v>
      </c>
      <c r="CS11" s="233" t="s">
        <v>919</v>
      </c>
      <c r="CT11" s="233"/>
      <c r="CU11" s="233"/>
      <c r="CV11" s="233" t="s">
        <v>940</v>
      </c>
      <c r="CW11" s="233"/>
      <c r="CX11" s="233"/>
      <c r="CY11" s="233" t="s">
        <v>948</v>
      </c>
      <c r="CZ11" s="233"/>
      <c r="DA11" s="233" t="s">
        <v>961</v>
      </c>
      <c r="DB11" s="233"/>
      <c r="DC11" s="233" t="s">
        <v>950</v>
      </c>
      <c r="DD11" s="233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421" t="s">
        <v>1185</v>
      </c>
      <c r="DT11" s="422">
        <v>1960</v>
      </c>
      <c r="DU11" s="420">
        <v>0</v>
      </c>
      <c r="DV11" s="420">
        <v>25</v>
      </c>
      <c r="DW11" s="420">
        <v>4</v>
      </c>
      <c r="DX11" s="420" t="s">
        <v>1159</v>
      </c>
      <c r="DY11" s="420">
        <v>25</v>
      </c>
      <c r="DZ11" s="420"/>
      <c r="EA11" s="29"/>
      <c r="EB11" s="413" t="str">
        <f t="shared" si="14"/>
        <v>General Light Armor</v>
      </c>
      <c r="EC11" s="409">
        <f t="shared" si="15"/>
        <v>0</v>
      </c>
      <c r="ED11" s="432">
        <f t="shared" si="16"/>
        <v>25</v>
      </c>
      <c r="EE11" s="432">
        <f t="shared" si="17"/>
        <v>4</v>
      </c>
      <c r="EF11" s="432" t="str">
        <f t="shared" si="18"/>
        <v>V; C; S; A; L</v>
      </c>
      <c r="EG11" s="432">
        <f t="shared" si="19"/>
        <v>25</v>
      </c>
      <c r="EH11" s="97">
        <f t="shared" si="8"/>
        <v>0</v>
      </c>
      <c r="EI11" s="97">
        <f t="shared" si="9"/>
        <v>0</v>
      </c>
      <c r="EJ11" s="97">
        <f t="shared" si="10"/>
        <v>0</v>
      </c>
      <c r="EK11" s="97">
        <f t="shared" si="11"/>
        <v>0</v>
      </c>
      <c r="EL11" s="97">
        <f t="shared" si="12"/>
        <v>0</v>
      </c>
      <c r="EM11" s="29"/>
      <c r="EN11" s="29"/>
      <c r="EO11" s="29"/>
      <c r="EP11" s="29"/>
      <c r="EQ11" s="29"/>
      <c r="ER11" s="339"/>
      <c r="ES11" s="339"/>
      <c r="ET11" s="417" t="str">
        <f t="shared" si="13"/>
        <v xml:space="preserve"> </v>
      </c>
      <c r="EU11" s="339"/>
      <c r="EV11" s="340"/>
      <c r="EW11" s="340"/>
      <c r="EX11" s="34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</row>
    <row r="12" spans="1:168" ht="15.95" customHeight="1" thickBot="1" x14ac:dyDescent="0.3">
      <c r="A12" s="128" t="s">
        <v>13</v>
      </c>
      <c r="B12" s="129">
        <f t="shared" si="20"/>
        <v>0</v>
      </c>
      <c r="C12" s="51" t="s">
        <v>6</v>
      </c>
      <c r="D12" s="130"/>
      <c r="E12" s="51" t="s">
        <v>7</v>
      </c>
      <c r="F12" s="130"/>
      <c r="G12" s="51" t="s">
        <v>7</v>
      </c>
      <c r="H12" s="130"/>
      <c r="I12" s="50" t="s">
        <v>7</v>
      </c>
      <c r="J12" s="130"/>
      <c r="K12" s="50" t="s">
        <v>7</v>
      </c>
      <c r="L12" s="132"/>
      <c r="M12" s="10"/>
      <c r="N12" s="27">
        <f t="shared" si="21"/>
        <v>-5</v>
      </c>
      <c r="O12" s="29"/>
      <c r="P12" s="29"/>
      <c r="Q12" s="29"/>
      <c r="R12" s="524" t="s">
        <v>64</v>
      </c>
      <c r="S12" s="524"/>
      <c r="T12" s="524"/>
      <c r="U12" s="524"/>
      <c r="V12" s="524"/>
      <c r="W12" s="29"/>
      <c r="X12" s="3" t="str">
        <f t="shared" ref="X12:X19" si="25">IF($AF$7&gt;=AJ8,AJ8," ")</f>
        <v xml:space="preserve"> </v>
      </c>
      <c r="Y12" s="5" t="str">
        <f t="shared" si="22"/>
        <v xml:space="preserve"> </v>
      </c>
      <c r="Z12" s="496"/>
      <c r="AA12" s="496"/>
      <c r="AB12" s="3" t="str">
        <f t="shared" si="23"/>
        <v xml:space="preserve"> </v>
      </c>
      <c r="AC12" s="5" t="str">
        <f t="shared" si="24"/>
        <v xml:space="preserve"> </v>
      </c>
      <c r="AD12" s="94"/>
      <c r="AE12" s="29"/>
      <c r="AF12" s="377">
        <f>SUM(Z11:AA20)+SUM(AD11:AD20)</f>
        <v>0</v>
      </c>
      <c r="AG12" s="29"/>
      <c r="AH12" s="226" t="s">
        <v>181</v>
      </c>
      <c r="AI12" s="29"/>
      <c r="AJ12" s="29">
        <v>6</v>
      </c>
      <c r="AK12" s="29"/>
      <c r="AL12" s="29">
        <v>10</v>
      </c>
      <c r="AM12" s="376" t="str">
        <f t="shared" si="0"/>
        <v xml:space="preserve"> </v>
      </c>
      <c r="AN12" s="29"/>
      <c r="AO12" s="382" t="s">
        <v>467</v>
      </c>
      <c r="AP12" s="469">
        <f>IF($B$2=$AI$28,IF(C42=$AH$1,AU26,IF(C42=$AH$2,AU60,IF(C42=$AH$3,AU91,IF(C42=$AH$4,AU122,IF(C42=$AH$5,AU153,IF(C42=$AH$6,AU184,0)))))),IF(C42=$AH$1,AV26,IF(C42=$AH$2,AV60,IF(C42=$AH$3,AV91,IF(C42=$AH$4,AV122,IF(C42=$AH$5,AV153,IF(C42=$AH$6,AV184,0)))))))</f>
        <v>0</v>
      </c>
      <c r="AQ12" s="470"/>
      <c r="AR12" s="29"/>
      <c r="AS12" s="29">
        <v>10</v>
      </c>
      <c r="AT12" s="375" t="s">
        <v>858</v>
      </c>
      <c r="AU12" s="375" t="s">
        <v>796</v>
      </c>
      <c r="AV12" s="375" t="s">
        <v>797</v>
      </c>
      <c r="AW12" s="375">
        <v>20</v>
      </c>
      <c r="AX12" s="375">
        <v>2</v>
      </c>
      <c r="AY12" s="375">
        <v>11</v>
      </c>
      <c r="AZ12" s="375" t="s">
        <v>1551</v>
      </c>
      <c r="BA12" s="375">
        <v>1</v>
      </c>
      <c r="BB12" s="375">
        <v>-1</v>
      </c>
      <c r="BC12" s="375">
        <v>7</v>
      </c>
      <c r="BD12" s="375">
        <v>30</v>
      </c>
      <c r="BE12" s="375">
        <f t="shared" si="1"/>
        <v>6</v>
      </c>
      <c r="BF12" s="375">
        <v>8</v>
      </c>
      <c r="BG12" s="233"/>
      <c r="BH12" s="243"/>
      <c r="BI12" s="481" t="s">
        <v>874</v>
      </c>
      <c r="BJ12" s="481"/>
      <c r="BK12" s="481"/>
      <c r="BL12" s="481"/>
      <c r="BM12" s="481"/>
      <c r="BN12" s="233"/>
      <c r="BO12" s="23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36"/>
      <c r="CA12" s="395" t="s">
        <v>854</v>
      </c>
      <c r="CB12" s="394" t="s">
        <v>847</v>
      </c>
      <c r="CC12" s="395" t="s">
        <v>1573</v>
      </c>
      <c r="CD12" s="394"/>
      <c r="CE12" s="394" t="s">
        <v>1574</v>
      </c>
      <c r="CF12" s="394" t="s">
        <v>1575</v>
      </c>
      <c r="CG12" s="233"/>
      <c r="CH12" s="233"/>
      <c r="CI12" s="233"/>
      <c r="CJ12" s="233"/>
      <c r="CK12" s="233"/>
      <c r="CL12" s="233"/>
      <c r="CM12" s="233"/>
      <c r="CN12" s="361" t="str">
        <f t="shared" si="2"/>
        <v xml:space="preserve"> </v>
      </c>
      <c r="CO12" s="361" t="str">
        <f t="shared" si="3"/>
        <v xml:space="preserve"> </v>
      </c>
      <c r="CP12" s="361" t="str">
        <f t="shared" si="4"/>
        <v xml:space="preserve"> </v>
      </c>
      <c r="CQ12" s="361" t="str">
        <f t="shared" si="5"/>
        <v xml:space="preserve"> </v>
      </c>
      <c r="CR12" s="361" t="str">
        <f t="shared" si="6"/>
        <v xml:space="preserve"> </v>
      </c>
      <c r="CS12" s="339" t="s">
        <v>1439</v>
      </c>
      <c r="CT12" s="233"/>
      <c r="CU12" s="233"/>
      <c r="CV12" s="339" t="s">
        <v>1439</v>
      </c>
      <c r="CW12" s="233"/>
      <c r="CX12" s="233"/>
      <c r="CY12" s="233" t="s">
        <v>949</v>
      </c>
      <c r="CZ12" s="233"/>
      <c r="DA12" s="233" t="s">
        <v>958</v>
      </c>
      <c r="DB12" s="233"/>
      <c r="DC12" s="233" t="s">
        <v>1469</v>
      </c>
      <c r="DD12" s="233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419" t="s">
        <v>1630</v>
      </c>
      <c r="DT12" s="422">
        <v>2095</v>
      </c>
      <c r="DU12" s="420">
        <v>0</v>
      </c>
      <c r="DV12" s="420">
        <v>20</v>
      </c>
      <c r="DW12" s="420">
        <v>4</v>
      </c>
      <c r="DX12" s="423" t="s">
        <v>1160</v>
      </c>
      <c r="DY12" s="420">
        <v>20</v>
      </c>
      <c r="DZ12" s="420" t="s">
        <v>1592</v>
      </c>
      <c r="EA12" s="29">
        <v>8</v>
      </c>
      <c r="EB12" s="413" t="str">
        <f t="shared" si="14"/>
        <v>Explorer Light</v>
      </c>
      <c r="EC12" s="409">
        <f t="shared" si="15"/>
        <v>0</v>
      </c>
      <c r="ED12" s="432">
        <f t="shared" si="16"/>
        <v>20</v>
      </c>
      <c r="EE12" s="432">
        <f t="shared" si="17"/>
        <v>4</v>
      </c>
      <c r="EF12" s="432" t="str">
        <f t="shared" si="18"/>
        <v>V; C; L</v>
      </c>
      <c r="EG12" s="432">
        <f t="shared" si="19"/>
        <v>20</v>
      </c>
      <c r="EH12" s="97">
        <f t="shared" si="8"/>
        <v>0</v>
      </c>
      <c r="EI12" s="97">
        <f t="shared" si="9"/>
        <v>0</v>
      </c>
      <c r="EJ12" s="97">
        <f t="shared" si="10"/>
        <v>0</v>
      </c>
      <c r="EK12" s="97">
        <f t="shared" si="11"/>
        <v>0</v>
      </c>
      <c r="EL12" s="97">
        <f t="shared" si="12"/>
        <v>0</v>
      </c>
      <c r="EM12" s="29"/>
      <c r="EN12" s="29"/>
      <c r="EO12" s="29"/>
      <c r="EP12" s="29"/>
      <c r="EQ12" s="29"/>
      <c r="ER12" s="339"/>
      <c r="ES12" s="339"/>
      <c r="ET12" s="417" t="str">
        <f t="shared" si="13"/>
        <v xml:space="preserve"> </v>
      </c>
      <c r="EU12" s="339"/>
      <c r="EV12" s="340"/>
      <c r="EW12" s="340"/>
      <c r="EX12" s="34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</row>
    <row r="13" spans="1:168" ht="15.95" customHeight="1" thickBot="1" x14ac:dyDescent="0.3">
      <c r="A13" s="566" t="s">
        <v>14</v>
      </c>
      <c r="B13" s="566"/>
      <c r="C13" s="566"/>
      <c r="D13" s="566"/>
      <c r="E13" s="566"/>
      <c r="F13" s="566"/>
      <c r="G13" s="566"/>
      <c r="H13" s="566"/>
      <c r="I13" s="566"/>
      <c r="J13" s="566"/>
      <c r="K13" s="566"/>
      <c r="L13" s="566"/>
      <c r="M13" s="566"/>
      <c r="N13" s="566"/>
      <c r="O13" s="30"/>
      <c r="P13" s="29"/>
      <c r="Q13" s="29"/>
      <c r="R13" s="29"/>
      <c r="S13" s="29"/>
      <c r="T13" s="29"/>
      <c r="U13" s="29"/>
      <c r="V13" s="29"/>
      <c r="W13" s="29"/>
      <c r="X13" s="3" t="str">
        <f t="shared" si="25"/>
        <v xml:space="preserve"> </v>
      </c>
      <c r="Y13" s="5" t="str">
        <f t="shared" si="22"/>
        <v xml:space="preserve"> </v>
      </c>
      <c r="Z13" s="496"/>
      <c r="AA13" s="496"/>
      <c r="AB13" s="3" t="str">
        <f t="shared" si="23"/>
        <v xml:space="preserve"> </v>
      </c>
      <c r="AC13" s="5" t="str">
        <f t="shared" si="24"/>
        <v xml:space="preserve"> </v>
      </c>
      <c r="AD13" s="94"/>
      <c r="AE13" s="29"/>
      <c r="AF13" s="372"/>
      <c r="AG13" s="29"/>
      <c r="AH13" s="29" t="s">
        <v>1464</v>
      </c>
      <c r="AI13" s="29"/>
      <c r="AJ13" s="29">
        <v>7</v>
      </c>
      <c r="AK13" s="29"/>
      <c r="AL13" s="29">
        <v>11</v>
      </c>
      <c r="AM13" s="376" t="str">
        <f t="shared" ref="AM13:AM25" si="26">IF($C$42=$AH$1,AT13,IF($C$42=$AH$2,AT47,IF($C$42=$AH$3,AT78,IF($C$42=$AH$4,AT109,IF($C$42=$AH$5,AT140,IF($C$42=$AH$6,AT171,IF($C$42=$AH$7,"Ranged Touch"," ")))))))</f>
        <v xml:space="preserve"> </v>
      </c>
      <c r="AN13" s="29"/>
      <c r="AO13" s="382" t="s">
        <v>1570</v>
      </c>
      <c r="AP13" s="469" t="str">
        <f>AQ14&amp;"20/×"&amp;AP15</f>
        <v>0-20/×0</v>
      </c>
      <c r="AQ13" s="470"/>
      <c r="AR13" s="29"/>
      <c r="AS13" s="29">
        <v>11</v>
      </c>
      <c r="AT13" s="375" t="s">
        <v>1434</v>
      </c>
      <c r="AU13" s="375"/>
      <c r="AV13" s="375"/>
      <c r="AW13" s="375"/>
      <c r="AX13" s="375"/>
      <c r="AY13" s="375"/>
      <c r="AZ13" s="375"/>
      <c r="BA13" s="375"/>
      <c r="BB13" s="375"/>
      <c r="BC13" s="375"/>
      <c r="BD13" s="375"/>
      <c r="BE13" s="375"/>
      <c r="BF13" s="375"/>
      <c r="BG13" s="233"/>
      <c r="BH13" s="233"/>
      <c r="BI13" s="410" t="s">
        <v>1563</v>
      </c>
      <c r="BJ13" s="411" t="s">
        <v>876</v>
      </c>
      <c r="BK13" s="411" t="s">
        <v>877</v>
      </c>
      <c r="BL13" s="411" t="s">
        <v>878</v>
      </c>
      <c r="BM13" s="411" t="s">
        <v>879</v>
      </c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6"/>
      <c r="CA13" s="395" t="s">
        <v>855</v>
      </c>
      <c r="CB13" s="394" t="s">
        <v>847</v>
      </c>
      <c r="CC13" s="395" t="s">
        <v>1573</v>
      </c>
      <c r="CD13" s="394"/>
      <c r="CE13" s="394" t="s">
        <v>1574</v>
      </c>
      <c r="CF13" s="394" t="s">
        <v>1575</v>
      </c>
      <c r="CG13" s="233"/>
      <c r="CH13" s="233"/>
      <c r="CI13" s="233"/>
      <c r="CJ13" s="233"/>
      <c r="CK13" s="233"/>
      <c r="CL13" s="233"/>
      <c r="CM13" s="233"/>
      <c r="CN13" s="361" t="str">
        <f t="shared" si="2"/>
        <v xml:space="preserve"> </v>
      </c>
      <c r="CO13" s="361" t="str">
        <f t="shared" si="3"/>
        <v xml:space="preserve"> </v>
      </c>
      <c r="CP13" s="361" t="str">
        <f t="shared" si="4"/>
        <v xml:space="preserve"> </v>
      </c>
      <c r="CQ13" s="361" t="str">
        <f t="shared" si="5"/>
        <v xml:space="preserve"> </v>
      </c>
      <c r="CR13" s="361" t="str">
        <f t="shared" si="6"/>
        <v xml:space="preserve"> </v>
      </c>
      <c r="CS13" s="339" t="s">
        <v>1440</v>
      </c>
      <c r="CT13" s="233"/>
      <c r="CU13" s="233"/>
      <c r="CV13" s="339" t="s">
        <v>1440</v>
      </c>
      <c r="CW13" s="233"/>
      <c r="CX13" s="233"/>
      <c r="CY13" s="233" t="s">
        <v>1219</v>
      </c>
      <c r="CZ13" s="233"/>
      <c r="DA13" s="233" t="s">
        <v>920</v>
      </c>
      <c r="DB13" s="233"/>
      <c r="DC13" s="233" t="s">
        <v>1470</v>
      </c>
      <c r="DD13" s="233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421" t="s">
        <v>1597</v>
      </c>
      <c r="DT13" s="422">
        <v>2211</v>
      </c>
      <c r="DU13" s="420">
        <v>0</v>
      </c>
      <c r="DV13" s="420">
        <v>25</v>
      </c>
      <c r="DW13" s="420">
        <v>4</v>
      </c>
      <c r="DX13" s="420" t="s">
        <v>1159</v>
      </c>
      <c r="DY13" s="420">
        <v>20</v>
      </c>
      <c r="DZ13" s="420" t="s">
        <v>1604</v>
      </c>
      <c r="EA13" s="29">
        <v>9</v>
      </c>
      <c r="EB13" s="413" t="str">
        <f t="shared" si="14"/>
        <v>Angara Light Armor</v>
      </c>
      <c r="EC13" s="409">
        <f t="shared" si="15"/>
        <v>0</v>
      </c>
      <c r="ED13" s="432">
        <f t="shared" si="16"/>
        <v>25</v>
      </c>
      <c r="EE13" s="432">
        <f t="shared" si="17"/>
        <v>4</v>
      </c>
      <c r="EF13" s="432" t="str">
        <f t="shared" si="18"/>
        <v>V; C; S; A; L</v>
      </c>
      <c r="EG13" s="432">
        <f t="shared" si="19"/>
        <v>20</v>
      </c>
      <c r="EH13" s="97">
        <f t="shared" si="8"/>
        <v>0</v>
      </c>
      <c r="EI13" s="97">
        <f t="shared" si="9"/>
        <v>0</v>
      </c>
      <c r="EJ13" s="97">
        <f t="shared" si="10"/>
        <v>0</v>
      </c>
      <c r="EK13" s="97">
        <f t="shared" si="11"/>
        <v>0</v>
      </c>
      <c r="EL13" s="97">
        <f t="shared" si="12"/>
        <v>0</v>
      </c>
      <c r="EM13" s="29"/>
      <c r="EN13" s="29"/>
      <c r="EO13" s="29"/>
      <c r="EP13" s="29"/>
      <c r="EQ13" s="29"/>
      <c r="ER13" s="339"/>
      <c r="ES13" s="339"/>
      <c r="ET13" s="417" t="str">
        <f t="shared" si="13"/>
        <v xml:space="preserve"> </v>
      </c>
      <c r="EU13" s="339"/>
      <c r="EV13" s="340"/>
      <c r="EW13" s="340"/>
      <c r="EX13" s="34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</row>
    <row r="14" spans="1:168" ht="15.95" customHeight="1" thickBot="1" x14ac:dyDescent="0.3">
      <c r="A14" s="128" t="s">
        <v>15</v>
      </c>
      <c r="B14" s="129">
        <f t="shared" si="20"/>
        <v>0</v>
      </c>
      <c r="C14" s="51" t="s">
        <v>6</v>
      </c>
      <c r="D14" s="130"/>
      <c r="E14" s="51" t="s">
        <v>7</v>
      </c>
      <c r="F14" s="130"/>
      <c r="G14" s="51" t="s">
        <v>7</v>
      </c>
      <c r="H14" s="130"/>
      <c r="I14" s="50" t="s">
        <v>7</v>
      </c>
      <c r="J14" s="130"/>
      <c r="K14" s="50" t="s">
        <v>7</v>
      </c>
      <c r="L14" s="132"/>
      <c r="M14" s="10"/>
      <c r="N14" s="27">
        <f t="shared" si="21"/>
        <v>-5</v>
      </c>
      <c r="O14" s="30"/>
      <c r="P14" s="29"/>
      <c r="Q14" s="29"/>
      <c r="R14" s="29"/>
      <c r="S14" s="29"/>
      <c r="T14" s="29"/>
      <c r="U14" s="29"/>
      <c r="V14" s="29"/>
      <c r="W14" s="29"/>
      <c r="X14" s="3" t="str">
        <f t="shared" si="25"/>
        <v xml:space="preserve"> </v>
      </c>
      <c r="Y14" s="5" t="str">
        <f t="shared" si="22"/>
        <v xml:space="preserve"> </v>
      </c>
      <c r="Z14" s="496"/>
      <c r="AA14" s="496"/>
      <c r="AB14" s="3" t="str">
        <f t="shared" si="23"/>
        <v xml:space="preserve"> </v>
      </c>
      <c r="AC14" s="5" t="str">
        <f t="shared" si="24"/>
        <v xml:space="preserve"> </v>
      </c>
      <c r="AD14" s="94"/>
      <c r="AE14" s="29"/>
      <c r="AF14" s="378" t="s">
        <v>23</v>
      </c>
      <c r="AG14" s="29"/>
      <c r="AH14" s="29" t="s">
        <v>1465</v>
      </c>
      <c r="AI14" s="29"/>
      <c r="AJ14" s="29">
        <v>8</v>
      </c>
      <c r="AK14" s="29"/>
      <c r="AL14" s="29">
        <v>12</v>
      </c>
      <c r="AM14" s="376" t="str">
        <f t="shared" si="26"/>
        <v xml:space="preserve"> </v>
      </c>
      <c r="AN14" s="29"/>
      <c r="AO14" s="29" t="s">
        <v>1571</v>
      </c>
      <c r="AP14" s="384">
        <f>IF(C42=$AH$1,AW26,IF(C42=$AH$2,AW60,IF(C42=$AH$3,AW91,IF(C42=$AH$4,AW122,IF(C42=$AH$5,AW153,IF(C42=$AH$6,AW184,0))))))-IF(BJ9="Threat range +1",1,0)-IF(BK9="Threat range +1",1,0)-IF(BL9="Threat range +1",1,0)-IF(BM9="Threat range +1",1,0)-IF(N42=CS11,1,0)-IF(S42=CS11,1,0)-IF(W42=CS11,1,0)-IF(N42=CS30,1,0)-IF(S42=CS30,1,0)-IF(W42=CS30,1,0)-IF(N42=CV11,1,0)-IF(S42=CV11,1,0)-IF(W42=CV11,1,0)-IF(N42=CY12,1,0)-IF(S42=CY12,1,0)-IF(W42=CY12,1,0)-IF(N42=CY17,1,0)-IF(S42=CY17,1,0)-IF(W42=CY17,1,0)-IF(N42=DA33,1,0)-IF(S42=DA33,1,0)-IF(W42=DA33,1,0)-IF(N42=DC7,1,0)-IF(S42=DC7,1,0)-IF(W42=DC7,1,0)-IF(AB27=DS30,1,0)-IF(AB27=DS59,2,0)-IF(Z34=DW149,1,0)-IF(Z35=DW165,1,0)-IF(AND(C42=AH1,Feats!E46=1),1,0)-IF(AND(C42=AH2,Feats!E47=1),1,0)-IF(AND(C42=AH3,Feats!E48=1),1,0)-IF(AND(C42=AH4,Feats!E49=1),1,0)-IF(AND(C42=AH5,Feats!E50=1),1,0)-IF(AND(C42=AH6,Feats!E51=1),1,0)</f>
        <v>0</v>
      </c>
      <c r="AQ14" s="384" t="str">
        <f>IF(AP14&gt;=20," ",AP14&amp;"-")</f>
        <v>0-</v>
      </c>
      <c r="AR14" s="29"/>
      <c r="AS14" s="29">
        <v>12</v>
      </c>
      <c r="AT14" s="375" t="s">
        <v>1542</v>
      </c>
      <c r="AU14" s="375" t="s">
        <v>540</v>
      </c>
      <c r="AV14" s="375" t="s">
        <v>541</v>
      </c>
      <c r="AW14" s="375">
        <v>20</v>
      </c>
      <c r="AX14" s="375">
        <v>2</v>
      </c>
      <c r="AY14" s="375">
        <v>8</v>
      </c>
      <c r="AZ14" s="375" t="s">
        <v>909</v>
      </c>
      <c r="BA14" s="375">
        <v>2</v>
      </c>
      <c r="BB14" s="375">
        <v>-2</v>
      </c>
      <c r="BC14" s="375">
        <v>70</v>
      </c>
      <c r="BD14" s="375">
        <v>50</v>
      </c>
      <c r="BE14" s="375">
        <f t="shared" si="1"/>
        <v>3</v>
      </c>
      <c r="BF14" s="375">
        <v>4</v>
      </c>
      <c r="BG14" s="233"/>
      <c r="BH14" s="233"/>
      <c r="BI14" s="409" t="s">
        <v>1552</v>
      </c>
      <c r="BJ14" s="383">
        <f>IF(AND($C$54=$AH$1,OR($L$54=$BJ$3,$L$54=$BK$3,$L$54=$BL$3,$L$54=$BM$3),$G$54=$CA$7),CC7,IF(AND($C$54=$AH$1,OR($L$54=$BJ$3,$L$54=$BK$3,$L$54=$BL$3,$L$54=$BM$3),$G$54=$CA$9),CC9,IF(AND($C$54=$AH$1,OR($L$54=$BJ$3,$L$54=$BK$3,$L$54=$BL$3,$L$54=$BM$3),$G$54=$CA$10),CC10,IF(AND($C$54=$AH$1,OR($L$54=$BJ$3,$L$54=$BK$3,$L$54=$BL$3,$L$54=$BM$3),$G$54=$CA$11),CC11,IF(AND($C$54=$AH$1,OR($L$54=$BJ$3,$L$54=$BK$3,$L$54=$BL$3,$L$54=$BM$3),$G$54=$CA$12),CC12,IF(AND($C$54=$AH$1,OR($L$54=$BJ$3,$L$54=$BK$3,$L$54=$BL$3,$L$54=$BM$3),$G$54=$CA$13),CC13,IF(AND($C$54=$AH$1,OR($L$54=$BJ$3,$L$54=$BK$3,$L$54=$BL$3,$L$54=$BM$3),$G$54=$CA$14),CC14,IF(AND($C$54=$AH$1,OR($L$54=$BJ$3,$L$54=$BK$3,$L$54=$BL$3,$L$54=$BM$3),$G$54=$CA$15),CC15,IF(AND($C$54=$AH$1,OR($L$54=$BJ$3,$L$54=$BK$3,$L$54=$BL$3,$L$54=$BM$3),$G$54=$CA$16),CC16,IF(AND($C$54=$AH$1,OR($L$54=$BJ$3,$L$54=$BK$3,$L$54=$BL$3,$L$54=$BM$3),$G$54=$CA$17),CC17,IF(AND($C$54=$AH$1,OR($L$54=$BJ$3,$L$54=$BK$3,$L$54=$BL$3,$L$54=$BM$3),$G$54=$CA$18),CC18,IF(AND($C$54=$AH$1,OR($L$54=$BJ$3,$L$54=$BK$3,$L$54=$BL$3,$L$54=$BM$3),$G$54=$CA$19),CC19,IF(AND($C$54=$AH$1,OR($L$54=$BJ$3,$L$54=$BK$3,$L$54=$BL$3,$L$54=$BM$3),$G$54=$CA$20),CC20,0)))))))))))))</f>
        <v>0</v>
      </c>
      <c r="BK14" s="383">
        <f>IF(AND($C$54=$AH$1,OR($L$54=$BK$3,$L$54=$BL$3,$L$54=$BM$3),$G$54=$CA$7),CD7,IF(AND($C$54=$AH$1,OR($L$54=$BK$3,$L$54=$BL$3,$L$54=$BM$3),$G$54=$CA$9),CD9,IF(AND($C$54=$AH$1,OR($L$54=$BK$3,$L$54=$BL$3,$L$54=$BM$3),$G$54=$CA$10),CD10,IF(AND($C$54=$AH$1,OR($L$54=$BK$3,$L$54=$BL$3,$L$54=$BM$3),$G$54=$CA$11),CD11,IF(AND($C$54=$AH$1,OR($L$54=$BK$3,$L$54=$BL$3,$L$54=$BM$3),$G$54=$CA$12),CD12,IF(AND($C$54=$AH$1,OR($L$54=$BK$3,$L$54=$BL$3,$L$54=$BM$3),$G$54=$CA$13),CD13,IF(AND($C$54=$AH$1,OR($L$54=$BK$3,$L$54=$BL$3,$L$54=$BM$3),$G$54=$CA$14),CD14,IF(AND($C$54=$AH$1,OR($L$54=$BK$3,$L$54=$BL$3,$L$54=$BM$3),$G$54=$CA$15),CD15,IF(AND($C$54=$AH$1,OR($L$54=$BK$3,$L$54=$BL$3,$L$54=$BM$3),$G$54=$CA$16),CD16,IF(AND($C$54=$AH$1,OR($L$54=$BK$3,$L$54=$BL$3,$L$54=$BM$3),$G$54=$CA$17),CD17,IF(AND($C$54=$AH$1,OR($L$54=$BK$3,$L$54=$BL$3,$L$54=$BM$3),$G$54=$CA$18),CD18,IF(AND($C$54=$AH$1,OR($L$54=$BK$3,$L$54=$BL$3,$L$54=$BM$3),$G$54=$CA$19),CD19,IF(AND($C$54=$AH$1,OR($L$54=$BK$3,$L$54=$BL$3,$L$54=$BM$3),$G$54=$CA$20),CD20,0)))))))))))))</f>
        <v>0</v>
      </c>
      <c r="BL14" s="383">
        <f>IF(AND($C$54=$AH$1,OR($L$54=$BL$3,$L$54=$BM$3),$G$54=$CA$7),CE7,IF(AND($C$54=$AH$1,OR($L$54=$BL$3,$L$54=$BM$3),$G$54=$CA$9),CE9,IF(AND($C$54=$AH$1,OR($L$54=$BL$3,$L$54=$BM$3),$G$54=$CA$10),CE10,IF(AND($C$54=$AH$1,OR($L$54=$BL$3,$L$54=$BM$3),$G$54=$CA$11),CE11,IF(AND($C$54=$AH$1,OR($L$54=$BL$3,$L$54=$BM$3),$G$54=$CA$12),CE12,IF(AND($C$54=$AH$1,OR($L$54=$BL$3,$L$54=$BM$3),$G$54=$CA$13),CE13,IF(AND($C$54=$AH$1,OR($L$54=$BL$3,$L$54=$BM$3),$G$54=$CA$14),CE14,IF(AND($C$54=$AH$1,OR($L$54=$BL$3,$L$54=$BM$3),$G$54=$CA$15),CE15,IF(AND($C$54=$AH$1,OR($L$54=$BL$3,$L$54=$BM$3),$G$54=$CA$16),CE16,IF(AND($C$54=$AH$1,OR($L$54=$BL$3,$L$54=$BM$3),$G$54=$CA$17),CE17,IF(AND($C$54=$AH$1,OR($L$54=$BL$3,$L$54=$BM$3),$G$54=$CA$18),CE18,IF(AND($C$54=$AH$1,OR($L$54=$BL$3,$L$54=$BM$3),$G$54=$CA$19),CE19,IF(AND($C$54=$AH$1,OR($L$54=$BL$3,$L$54=$BM$3),$G$54=$CA$20),CE20,0)))))))))))))</f>
        <v>0</v>
      </c>
      <c r="BM14" s="383">
        <f>IF(AND($C$54=$AH$1,OR($L$54=$BM$3),$G$54=$CA$7),CF7,IF(AND($C$54=$AH$1,OR($L$54=$BM$3),$G$54=$CA$9),CF9,IF(AND($C$54=$AH$1,OR($L$54=$BM$3),$G$54=$CA$10),CF10,IF(AND($C$54=$AH$1,OR($L$54=$BM$3),$G$54=$CA$11),CF11,IF(AND($C$54=$AH$1,OR($L$54=$BM$3),$G$54=$CA$12),CF12,IF(AND($C$54=$AH$1,OR($L$54=$BM$3),$G$54=$CA$13),CF13,IF(AND($C$54=$AH$1,OR($L$54=$BM$3),$G$54=$CA$14),CF14,IF(AND($C$54=$AH$1,OR($L$54=$BM$3),$G$54=$CA$15),CF15,IF(AND($C$54=$AH$1,OR($L$54=$BM$3),$G$54=$CA$16),CF16,IF(AND($C$54=$AH$1,OR($L$54=$BM$3),$G$54=$CA$17),CF17,IF(AND($C$54=$AH$1,OR($L$54=$BM$3),$G$54=$CA$18),CF18,IF(AND($C$54=$AH$1,OR($L$54=$BM$3),$G$54=$CA$19),CF19,IF(AND($C$54=$AH$1,OR($L$54=$BM$3),$G$54=$CA$20),CF20,0)))))))))))))</f>
        <v>0</v>
      </c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6"/>
      <c r="CA14" s="395" t="s">
        <v>800</v>
      </c>
      <c r="CB14" s="394" t="s">
        <v>847</v>
      </c>
      <c r="CC14" s="395" t="s">
        <v>1573</v>
      </c>
      <c r="CD14" s="394"/>
      <c r="CE14" s="394" t="s">
        <v>1574</v>
      </c>
      <c r="CF14" s="394" t="s">
        <v>1575</v>
      </c>
      <c r="CG14" s="233"/>
      <c r="CH14" s="233"/>
      <c r="CI14" s="233"/>
      <c r="CJ14" s="233"/>
      <c r="CK14" s="233"/>
      <c r="CL14" s="233"/>
      <c r="CM14" s="233"/>
      <c r="CN14" s="361" t="str">
        <f t="shared" si="2"/>
        <v xml:space="preserve"> </v>
      </c>
      <c r="CO14" s="361" t="str">
        <f t="shared" si="3"/>
        <v xml:space="preserve"> </v>
      </c>
      <c r="CP14" s="361" t="str">
        <f t="shared" si="4"/>
        <v xml:space="preserve"> </v>
      </c>
      <c r="CQ14" s="361" t="str">
        <f t="shared" si="5"/>
        <v xml:space="preserve"> </v>
      </c>
      <c r="CR14" s="361" t="str">
        <f t="shared" si="6"/>
        <v xml:space="preserve"> </v>
      </c>
      <c r="CS14" s="339" t="s">
        <v>1441</v>
      </c>
      <c r="CT14" s="233"/>
      <c r="CU14" s="233"/>
      <c r="CV14" s="339" t="s">
        <v>1441</v>
      </c>
      <c r="CW14" s="233"/>
      <c r="CX14" s="233"/>
      <c r="CY14" s="233" t="s">
        <v>1223</v>
      </c>
      <c r="CZ14" s="233"/>
      <c r="DA14" s="233" t="s">
        <v>1469</v>
      </c>
      <c r="DB14" s="233"/>
      <c r="DC14" s="233" t="s">
        <v>952</v>
      </c>
      <c r="DD14" s="233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421" t="s">
        <v>1161</v>
      </c>
      <c r="DT14" s="422">
        <v>2510</v>
      </c>
      <c r="DU14" s="420">
        <v>0</v>
      </c>
      <c r="DV14" s="420">
        <v>30</v>
      </c>
      <c r="DW14" s="420">
        <v>4</v>
      </c>
      <c r="DX14" s="420"/>
      <c r="DY14" s="420">
        <v>15</v>
      </c>
      <c r="DZ14" s="420" t="s">
        <v>1158</v>
      </c>
      <c r="EA14" s="29">
        <v>10</v>
      </c>
      <c r="EB14" s="413" t="str">
        <f t="shared" si="14"/>
        <v>Phoenix</v>
      </c>
      <c r="EC14" s="409">
        <f t="shared" si="15"/>
        <v>0</v>
      </c>
      <c r="ED14" s="432">
        <f t="shared" si="16"/>
        <v>30</v>
      </c>
      <c r="EE14" s="432">
        <f t="shared" si="17"/>
        <v>4</v>
      </c>
      <c r="EF14" s="432">
        <f t="shared" si="18"/>
        <v>0</v>
      </c>
      <c r="EG14" s="432">
        <f t="shared" si="19"/>
        <v>15</v>
      </c>
      <c r="EH14" s="97">
        <f t="shared" si="8"/>
        <v>0</v>
      </c>
      <c r="EI14" s="97">
        <f t="shared" si="9"/>
        <v>0</v>
      </c>
      <c r="EJ14" s="97">
        <f t="shared" si="10"/>
        <v>0</v>
      </c>
      <c r="EK14" s="97">
        <f t="shared" si="11"/>
        <v>0</v>
      </c>
      <c r="EL14" s="97">
        <f t="shared" si="12"/>
        <v>0</v>
      </c>
      <c r="EM14" s="29"/>
      <c r="EN14" s="29"/>
      <c r="EO14" s="29"/>
      <c r="EP14" s="29"/>
      <c r="EQ14" s="29"/>
      <c r="ER14" s="339"/>
      <c r="ES14" s="339"/>
      <c r="ET14" s="417" t="str">
        <f t="shared" si="13"/>
        <v xml:space="preserve"> </v>
      </c>
      <c r="EU14" s="339"/>
      <c r="EV14" s="340"/>
      <c r="EW14" s="340"/>
      <c r="EX14" s="34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</row>
    <row r="15" spans="1:168" ht="15.95" customHeight="1" thickBot="1" x14ac:dyDescent="0.3">
      <c r="A15" s="566" t="s">
        <v>16</v>
      </c>
      <c r="B15" s="566"/>
      <c r="C15" s="566"/>
      <c r="D15" s="566"/>
      <c r="E15" s="566"/>
      <c r="F15" s="566"/>
      <c r="G15" s="566"/>
      <c r="H15" s="566"/>
      <c r="I15" s="566"/>
      <c r="J15" s="566"/>
      <c r="K15" s="566"/>
      <c r="L15" s="566"/>
      <c r="M15" s="566"/>
      <c r="N15" s="566"/>
      <c r="O15" s="589" t="str">
        <f>IF(N16&lt;0,"Ugly physical looks or Weak Personality?"," ")</f>
        <v>Ugly physical looks or Weak Personality?</v>
      </c>
      <c r="P15" s="590"/>
      <c r="Q15" s="590"/>
      <c r="R15" s="591"/>
      <c r="S15" s="595"/>
      <c r="T15" s="596"/>
      <c r="U15" s="596"/>
      <c r="V15" s="597"/>
      <c r="W15" s="29"/>
      <c r="X15" s="3" t="str">
        <f t="shared" si="25"/>
        <v xml:space="preserve"> </v>
      </c>
      <c r="Y15" s="5" t="str">
        <f t="shared" si="22"/>
        <v xml:space="preserve"> </v>
      </c>
      <c r="Z15" s="496"/>
      <c r="AA15" s="496"/>
      <c r="AB15" s="3" t="str">
        <f t="shared" si="23"/>
        <v xml:space="preserve"> </v>
      </c>
      <c r="AC15" s="5" t="str">
        <f t="shared" si="24"/>
        <v xml:space="preserve"> </v>
      </c>
      <c r="AD15" s="94"/>
      <c r="AE15" s="29"/>
      <c r="AF15" s="366">
        <f>N10*AF7</f>
        <v>0</v>
      </c>
      <c r="AG15" s="29"/>
      <c r="AH15" s="29" t="s">
        <v>1466</v>
      </c>
      <c r="AI15" s="29"/>
      <c r="AJ15" s="29">
        <v>9</v>
      </c>
      <c r="AK15" s="29"/>
      <c r="AL15" s="29">
        <v>13</v>
      </c>
      <c r="AM15" s="376" t="str">
        <f t="shared" si="26"/>
        <v xml:space="preserve"> </v>
      </c>
      <c r="AN15" s="29"/>
      <c r="AO15" s="29" t="s">
        <v>1572</v>
      </c>
      <c r="AP15" s="384">
        <f>IF(C42=$AH$1,AX26,IF(C42=$AH$2,AX60,IF(C42=$AH$3,AX91,IF(C42=$AH$4,AX122,IF(C42=$AH$5,AX153,IF(C42=$AH$6,AX184,0))))))+IF(BJ9="Multiplier +1",1,0)+IF(BK9="Multiplier +1",1,0)+IF(BL9="Multiplier +1",1,0)+IF(BM9="Multiplier +1",1,0)+IF(N42=CS22,1,0)+IF(S42=CS22,1,0)+IF(W42=CS22,1,0)+IF(AB27=DS50,1,0)+IF(AND(C42="Melee",AB27=DS69),1,0)</f>
        <v>0</v>
      </c>
      <c r="AQ15" s="36"/>
      <c r="AR15" s="29"/>
      <c r="AS15" s="29">
        <v>13</v>
      </c>
      <c r="AT15" s="375" t="s">
        <v>1541</v>
      </c>
      <c r="AU15" s="375" t="s">
        <v>719</v>
      </c>
      <c r="AV15" s="375" t="s">
        <v>796</v>
      </c>
      <c r="AW15" s="375">
        <v>20</v>
      </c>
      <c r="AX15" s="375">
        <v>2</v>
      </c>
      <c r="AY15" s="375">
        <v>10</v>
      </c>
      <c r="AZ15" s="375" t="s">
        <v>1551</v>
      </c>
      <c r="BA15" s="375">
        <v>1</v>
      </c>
      <c r="BB15" s="375">
        <v>-2</v>
      </c>
      <c r="BC15" s="375">
        <v>6</v>
      </c>
      <c r="BD15" s="375">
        <v>50</v>
      </c>
      <c r="BE15" s="375">
        <v>4</v>
      </c>
      <c r="BF15" s="375">
        <v>5</v>
      </c>
      <c r="BG15" s="233"/>
      <c r="BH15" s="233"/>
      <c r="BI15" s="409" t="s">
        <v>1537</v>
      </c>
      <c r="BJ15" s="383">
        <f>IF(AND($C$54=$AH$2,OR($L$54=$BJ$3,$L$54=$BK$3,$L$54=$BL$3,$L$54=$BM$3),$G$54=$CA$25),CC25,IF(AND($C$54=$AH$2,OR($L$54=$BJ$3,$L$54=$BK$3,$L$54=$BL$3,$L$54=$BM$3),$G$54=$CA$26),CC26,IF(AND($C$54=$AH$2,OR($L$54=$BJ$3,$L$54=$BK$3,$L$54=$BL$3,$L$54=$BM$3),$G$54=$CA$27),CC27,IF(AND($C$54=$AH$2,OR($L$54=$BJ$3,$L$54=$BK$3,$L$54=$BL$3,$L$54=$BM$3),$G$54=$CA$28),CC28,IF(AND($C$54=$AH$2,OR($L$54=$BJ$3,$L$54=$BK$3,$L$54=$BL$3,$L$54=$BM$3),$G$54=$CA$29),CC29,IF(AND($C$54=$AH$2,OR($L$54=$BJ$3,$L$54=$BK$3,$L$54=$BL$3,$L$54=$BM$3),$G$54=$CA$30),CC30,IF(AND($C$54=$AH$2,OR($L$54=$BJ$3,$L$54=$BK$3,$L$54=$BL$3,$L$54=$BM$3),$G$54=$CA$31),CC31,IF(AND($C$54=$AH$2,OR($L$54=$BJ$3,$L$54=$BK$3,$L$54=$BL$3,$L$54=$BM$3),$G$54=$CA$32),CC32,IF(AND($C$54=$AH$2,OR($L$54=$BJ$3,$L$54=$BK$3,$L$54=$BL$3,$L$54=$BM$3),$G$54=$CA$33),CC33,0)))))))))</f>
        <v>0</v>
      </c>
      <c r="BK15" s="383">
        <f>IF(AND($C$54=$AH$2,OR($L$54=$BK$3,$L$54=$BL$3,$L$54=$BM$3),$G$54=$CA$25),CD25,IF(AND($C$54=$AH$2,OR($L$54=$BK$3,$L$54=$BL$3,$L$54=$BM$3),$G$54=$CA$26),CD26,IF(AND($C$54=$AH$2,OR($L$54=$BK$3,$L$54=$BL$3,$L$54=$BM$3),$G$54=$CA$27),CD27,IF(AND($C$54=$AH$2,OR($L$54=$BK$3,$L$54=$BL$3,$L$54=$BM$3),$G$54=$CA$28),CD28,IF(AND($C$54=$AH$2,OR($L$54=$BK$3,$L$54=$BL$3,$L$54=$BM$3),$G$54=$CA$29),CD29,IF(AND($C$54=$AH$2,OR($L$54=$BK$3,$L$54=$BL$3,$L$54=$BM$3),$G$54=$CA$30),CD30,IF(AND($C$54=$AH$2,OR($L$54=$BK$3,$L$54=$BL$3,$L$54=$BM$3),$G$54=$CA$31),CD31,IF(AND($C$54=$AH$2,OR($L$54=$BK$3,$L$54=$BL$3,$L$54=$BM$3),$G$54=$CA$32),CD32,IF(AND($C$54=$AH$2,OR($L$54=$BK$3,$L$54=$BL$3,$L$54=$BM$3),$G$54=$CA$33),CD33,0)))))))))</f>
        <v>0</v>
      </c>
      <c r="BL15" s="383">
        <f>IF(AND($C$54=$AH$2,OR($L$54=$BL$3,$L$54=$BM$3),$G$54=$CA$25),CE25,IF(AND($C$54=$AH$2,OR($L$54=$BL$3,$L$54=$BM$3),$G$54=$CA$26),CE26,IF(AND($C$54=$AH$2,OR($L$54=$BL$3,$L$54=$BM$3),$G$54=$CA$27),CE27,IF(AND($C$54=$AH$2,OR($L$54=$BL$3,$L$54=$BM$3),$G$54=$CA$28),CE28,IF(AND($C$54=$AH$2,OR($L$54=$BL$3,$L$54=$BM$3),$G$54=$CA$29),CE29,IF(AND($C$54=$AH$2,OR($L$54=$BL$3,$L$54=$BM$3),$G$54=$CA$30),CE30,IF(AND($C$54=$AH$2,OR($L$54=$BL$3,$L$54=$BM$3),$G$54=$CA$31),CE31,IF(AND($C$54=$AH$2,OR($L$54=$BL$3,$L$54=$BM$3),$G$54=$CA$32),CE32,IF(AND($C$54=$AH$2,OR($L$54=$BL$3,$L$54=$BM$3),$G$54=$CA$33),CE33,0)))))))))</f>
        <v>0</v>
      </c>
      <c r="BM15" s="383">
        <f>IF(AND($C$54=$AH$2,OR($L$54=$BM$3),$G$54=$CA$25),CF25,IF(AND($C$54=$AH$2,OR($L$54=$BM$3),$G$54=$CA$26),CF26,IF(AND($C$54=$AH$2,OR($L$54=$BM$3),$G$54=$CA$27),CF27,IF(AND($C$54=$AH$2,OR($L$54=$BM$3),$G$54=$CA$28),CF28,IF(AND($C$54=$AH$2,OR($L$54=$BM$3),$G$54=$CA$29),CF29,IF(AND($C$54=$AH$2,OR($L$54=$BM$3),$G$54=$CA$30),CF30,IF(AND($C$54=$AH$2,OR($L$54=$BM$3),$G$54=$CA$31),CF31,IF(AND($C$54=$AH$2,OR($L$54=$BM$3),$G$54=$CA$32),CF32,IF(AND($C$54=$AH$2,OR($L$54=$BM$3),$G$54=$CA$33),CF33,0)))))))))</f>
        <v>0</v>
      </c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6"/>
      <c r="CA15" s="395" t="s">
        <v>856</v>
      </c>
      <c r="CB15" s="394" t="s">
        <v>847</v>
      </c>
      <c r="CC15" s="395" t="s">
        <v>1573</v>
      </c>
      <c r="CD15" s="394"/>
      <c r="CE15" s="394" t="s">
        <v>1574</v>
      </c>
      <c r="CF15" s="394" t="s">
        <v>1575</v>
      </c>
      <c r="CG15" s="233"/>
      <c r="CH15" s="233"/>
      <c r="CI15" s="233"/>
      <c r="CJ15" s="233"/>
      <c r="CK15" s="233"/>
      <c r="CL15" s="233"/>
      <c r="CM15" s="233"/>
      <c r="CN15" s="361" t="str">
        <f t="shared" si="2"/>
        <v xml:space="preserve"> </v>
      </c>
      <c r="CO15" s="361" t="str">
        <f t="shared" si="3"/>
        <v xml:space="preserve"> </v>
      </c>
      <c r="CP15" s="361" t="str">
        <f t="shared" si="4"/>
        <v xml:space="preserve"> </v>
      </c>
      <c r="CQ15" s="361" t="str">
        <f t="shared" si="5"/>
        <v xml:space="preserve"> </v>
      </c>
      <c r="CR15" s="361" t="str">
        <f t="shared" si="6"/>
        <v xml:space="preserve"> </v>
      </c>
      <c r="CS15" s="233" t="s">
        <v>941</v>
      </c>
      <c r="CT15" s="233"/>
      <c r="CU15" s="233"/>
      <c r="CV15" s="233" t="s">
        <v>941</v>
      </c>
      <c r="CW15" s="233"/>
      <c r="CX15" s="233"/>
      <c r="CY15" s="233" t="s">
        <v>1222</v>
      </c>
      <c r="CZ15" s="233"/>
      <c r="DA15" s="233" t="s">
        <v>1470</v>
      </c>
      <c r="DB15" s="233"/>
      <c r="DC15" s="233" t="s">
        <v>953</v>
      </c>
      <c r="DD15" s="233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421" t="s">
        <v>1631</v>
      </c>
      <c r="DT15" s="422">
        <v>2590</v>
      </c>
      <c r="DU15" s="420">
        <v>1</v>
      </c>
      <c r="DV15" s="420">
        <v>30</v>
      </c>
      <c r="DW15" s="420">
        <v>2</v>
      </c>
      <c r="DX15" s="420" t="s">
        <v>1598</v>
      </c>
      <c r="DY15" s="420">
        <v>23</v>
      </c>
      <c r="DZ15" s="420" t="s">
        <v>1599</v>
      </c>
      <c r="EA15" s="29">
        <v>11</v>
      </c>
      <c r="EB15" s="413" t="str">
        <f t="shared" si="14"/>
        <v>Heleus Light</v>
      </c>
      <c r="EC15" s="409">
        <f t="shared" si="15"/>
        <v>1</v>
      </c>
      <c r="ED15" s="432">
        <f t="shared" si="16"/>
        <v>30</v>
      </c>
      <c r="EE15" s="432">
        <f t="shared" si="17"/>
        <v>2</v>
      </c>
      <c r="EF15" s="432" t="str">
        <f t="shared" si="18"/>
        <v>V; A</v>
      </c>
      <c r="EG15" s="432">
        <f t="shared" si="19"/>
        <v>23</v>
      </c>
      <c r="EH15" s="97">
        <f t="shared" si="8"/>
        <v>0</v>
      </c>
      <c r="EI15" s="97">
        <f t="shared" si="9"/>
        <v>0</v>
      </c>
      <c r="EJ15" s="97">
        <f t="shared" si="10"/>
        <v>0</v>
      </c>
      <c r="EK15" s="97">
        <f t="shared" si="11"/>
        <v>0</v>
      </c>
      <c r="EL15" s="97">
        <f t="shared" si="12"/>
        <v>0</v>
      </c>
      <c r="EM15" s="29"/>
      <c r="EN15" s="29"/>
      <c r="EO15" s="29"/>
      <c r="EP15" s="29"/>
      <c r="EQ15" s="29"/>
      <c r="ER15" s="339"/>
      <c r="ES15" s="339"/>
      <c r="ET15" s="417" t="str">
        <f t="shared" si="13"/>
        <v xml:space="preserve"> </v>
      </c>
      <c r="EU15" s="339"/>
      <c r="EV15" s="340"/>
      <c r="EW15" s="340"/>
      <c r="EX15" s="34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</row>
    <row r="16" spans="1:168" ht="15.95" customHeight="1" thickBot="1" x14ac:dyDescent="0.3">
      <c r="A16" s="128" t="s">
        <v>17</v>
      </c>
      <c r="B16" s="129">
        <f t="shared" si="20"/>
        <v>0</v>
      </c>
      <c r="C16" s="51" t="s">
        <v>6</v>
      </c>
      <c r="D16" s="130"/>
      <c r="E16" s="51" t="s">
        <v>7</v>
      </c>
      <c r="F16" s="130"/>
      <c r="G16" s="51" t="s">
        <v>7</v>
      </c>
      <c r="H16" s="130"/>
      <c r="I16" s="50" t="s">
        <v>7</v>
      </c>
      <c r="J16" s="130"/>
      <c r="K16" s="50" t="s">
        <v>7</v>
      </c>
      <c r="L16" s="132"/>
      <c r="M16" s="10"/>
      <c r="N16" s="28">
        <f t="shared" si="21"/>
        <v>-5</v>
      </c>
      <c r="O16" s="592"/>
      <c r="P16" s="593"/>
      <c r="Q16" s="593"/>
      <c r="R16" s="594"/>
      <c r="S16" s="598"/>
      <c r="T16" s="599"/>
      <c r="U16" s="599"/>
      <c r="V16" s="600"/>
      <c r="W16" s="29"/>
      <c r="X16" s="3" t="str">
        <f t="shared" si="25"/>
        <v xml:space="preserve"> </v>
      </c>
      <c r="Y16" s="5" t="str">
        <f t="shared" si="22"/>
        <v xml:space="preserve"> </v>
      </c>
      <c r="Z16" s="496"/>
      <c r="AA16" s="496"/>
      <c r="AB16" s="3" t="str">
        <f t="shared" si="23"/>
        <v xml:space="preserve"> </v>
      </c>
      <c r="AC16" s="5" t="str">
        <f t="shared" si="24"/>
        <v xml:space="preserve"> </v>
      </c>
      <c r="AD16" s="94"/>
      <c r="AE16" s="29"/>
      <c r="AF16" s="97"/>
      <c r="AG16" s="29"/>
      <c r="AH16" s="226" t="s">
        <v>172</v>
      </c>
      <c r="AI16" s="29"/>
      <c r="AJ16" s="29">
        <v>10</v>
      </c>
      <c r="AK16" s="29"/>
      <c r="AL16" s="29">
        <v>14</v>
      </c>
      <c r="AM16" s="376" t="str">
        <f t="shared" si="26"/>
        <v xml:space="preserve"> </v>
      </c>
      <c r="AN16" s="29"/>
      <c r="AO16" s="29"/>
      <c r="AP16" s="36"/>
      <c r="AQ16" s="36"/>
      <c r="AR16" s="29"/>
      <c r="AS16" s="29">
        <v>14</v>
      </c>
      <c r="AT16" s="375" t="s">
        <v>1543</v>
      </c>
      <c r="AU16" s="375" t="s">
        <v>819</v>
      </c>
      <c r="AV16" s="375" t="s">
        <v>475</v>
      </c>
      <c r="AW16" s="375">
        <v>20</v>
      </c>
      <c r="AX16" s="375">
        <v>2</v>
      </c>
      <c r="AY16" s="375">
        <v>12</v>
      </c>
      <c r="AZ16" s="389" t="s">
        <v>908</v>
      </c>
      <c r="BA16" s="375">
        <v>1</v>
      </c>
      <c r="BB16" s="375">
        <v>0</v>
      </c>
      <c r="BC16" s="375">
        <v>1</v>
      </c>
      <c r="BD16" s="375">
        <v>50</v>
      </c>
      <c r="BE16" s="375">
        <v>8</v>
      </c>
      <c r="BF16" s="375">
        <v>10</v>
      </c>
      <c r="BG16" s="233"/>
      <c r="BH16" s="233"/>
      <c r="BI16" s="409" t="s">
        <v>1534</v>
      </c>
      <c r="BJ16" s="383">
        <f>IF(AND($C$54=$AH$3,OR($L$54=$BJ$3,$L$54=$BK$3,$L$54=$BL$3,$L$54=$BM$3),$G$54=$CA$41),CC41,IF(AND($C$54=$AH$3,OR($L$54=$BJ$3,$L$54=$BK$3,$L$54=$BL$3,$L$54=$BM$3),$G$54=$CA$42),CC42,IF(AND($C$54=$AH$3,OR($L$54=$BJ$3,$L$54=$BK$3,$L$54=$BL$3,$L$54=$BM$3),$G$54=$CA$43),CC43,IF(AND($C$54=$AH$3,OR($L$54=$BJ$3,$L$54=$BK$3,$L$54=$BL$3,$L$54=$BM$3),$G$54=$CA$44),CC44,IF(AND($C$54=$AH$3,OR($L$54=$BJ$3,$L$54=$BK$3,$L$54=$BL$3,$L$54=$BM$3),$G$54=$CA$45),CC45,IF(AND($C$54=$AH$3,OR($L$54=$BJ$3,$L$54=$BK$3,$L$54=$BL$3,$L$54=$BM$3),$G$54=$CA$46),CC46,IF(AND($C$54=$AH$3,OR($L$54=$BJ$3,$L$54=$BK$3,$L$54=$BL$3,$L$54=$BM$3),$G$54=$CA$47),CC47,IF(AND($C$54=$AH$3,OR($L$54=$BJ$3,$L$54=$BK$3,$L$54=$BL$3,$L$54=$BM$3),$G$54=$CA$48),CC48,IF(AND($C$54=$AH$3,OR($L$54=$BJ$3,$L$54=$BK$3,$L$54=$BL$3,$L$54=$BM$3),$G$54=$CA$49),CC49,IF(AND($C$54=$AH$3,OR($L$54=$BJ$3,$L$54=$BK$3,$L$54=$BL$3,$L$54=$BM$3),$G$54=$CA$50),CC50,IF(AND($C$54=$AH$3,OR($L$54=$BJ$3,$L$54=$BK$3,$L$54=$BL$3,$L$54=$BM$3),$G$54=$CA$51),CC51,IF(AND($C$54=$AH$3,OR($L$54=$BJ$3,$L$54=$BK$3,$L$54=$BL$3,$L$54=$BM$3),$G$54=$CA$52),CC52,IF(AND($C$54=$AH$3,OR($L$54=$BJ$3,$L$54=$BK$3,$L$54=$BL$3,$L$54=$BM$3),$G$54=$CA$53),CC53,IF(AND($C$54=$AH$3,OR($L$54=$BJ$3,$L$54=$BK$3,$L$54=$BL$3,$L$54=$BM$3),$G$54=$CA$54),CC54,IF(AND($C$54=$AH$3,OR($L$54=$BJ$3,$L$54=$BK$3,$L$54=$BL$3,$L$54=$BM$3),$G$54=$CA$55),CC55,IF(AND($C$54=$AH$3,OR($L$54=$BJ$3,$L$54=$BK$3,$L$54=$BL$3,$L$54=$BM$3),$G$54=$CA$56),CC56,IF(AND($C$54=$AH$3,OR($L$54=$BJ$3,$L$54=$BK$3,$L$54=$BL$3,$L$54=$BM$3),$G$54=$CA$57),CC57,IF(AND($C$54=$AH$3,OR($L$54=$BJ$3,$L$54=$BK$3,$L$54=$BL$3,$L$54=$BM$3),$G$54=$CA$58),CC58,IF(AND($C$54=$AH$3,OR($L$54=$BJ$3,$L$54=$BK$3,$L$54=$BL$3,$L$54=$BM$3),$G$54=$CA$59),CC59,IF(AND($C$54=$AH$3,OR($L$54=$BJ$3,$L$54=$BK$3,$L$54=$BL$3,$L$54=$BM$3),$G$54=$CA$60),CC60,IF(AND($C$54=$AH$3,OR($L$54=$BJ$3,$L$54=$BK$3,$L$54=$BL$3,$L$54=$BM$3),$G$54=$CA$61),CC61,IF(AND($C$54=$AH$3,OR($L$54=$BJ$3,$L$54=$BK$3,$L$54=$BL$3,$L$54=$BM$3),$G$54=$CA$62),CC62,0))))))))))))))))))))))</f>
        <v>0</v>
      </c>
      <c r="BK16" s="383">
        <f>IF(AND($C$54=$AH$3,OR($L$54=$BK$3,$L$54=$BL$3,$L$54=$BM$3),$G$54=$CA$41),CD41,IF(AND($C$54=$AH$3,OR($L$54=$BK$3,$L$54=$BL$3,$L$54=$BM$3),$G$54=$CA$42),CD42,IF(AND($C$54=$AH$3,OR($L$54=$BK$3,$L$54=$BL$3,$L$54=$BM$3),$G$54=$CA$43),CD43,IF(AND($C$54=$AH$3,OR($L$54=$BK$3,$L$54=$BL$3,$L$54=$BM$3),$G$54=$CA$44),CD44,IF(AND($C$54=$AH$3,OR($L$54=$BK$3,$L$54=$BL$3,$L$54=$BM$3),$G$54=$CA$45),CD45,IF(AND($C$54=$AH$3,OR($L$54=$BK$3,$L$54=$BL$3,$L$54=$BM$3),$G$54=$CA$46),CD46,IF(AND($C$54=$AH$3,OR($L$54=$BK$3,$L$54=$BL$3,$L$54=$BM$3),$G$54=$CA$47),CD47,IF(AND($C$54=$AH$3,OR($L$54=$BK$3,$L$54=$BL$3,$L$54=$BM$3),$G$54=$CA$48),CD48,IF(AND($C$54=$AH$3,OR($L$54=$BK$3,$L$54=$BL$3,$L$54=$BM$3),$G$54=$CA$49),CD49,IF(AND($C$54=$AH$3,OR($L$54=$BK$3,$L$54=$BL$3,$L$54=$BM$3),$G$54=$CA$50),CD50,IF(AND($C$54=$AH$3,OR($L$54=$BK$3,$L$54=$BL$3,$L$54=$BM$3),$G$54=$CA$51),CD51,IF(AND($C$54=$AH$3,OR($L$54=$BK$3,$L$54=$BL$3,$L$54=$BM$3),$G$54=$CA$52),CD52,IF(AND($C$54=$AH$3,OR($L$54=$BK$3,$L$54=$BL$3,$L$54=$BM$3),$G$54=$CA$53),CD53,IF(AND($C$54=$AH$3,OR($L$54=$BK$3,$L$54=$BL$3,$L$54=$BM$3),$G$54=$CA$54),CD54,IF(AND($C$54=$AH$3,OR($L$54=$BK$3,$L$54=$BL$3,$L$54=$BM$3),$G$54=$CA$55),CD55,IF(AND($C$54=$AH$3,OR($L$54=$BK$3,$L$54=$BL$3,$L$54=$BM$3),$G$54=$CA$56),CD56,IF(AND($C$54=$AH$3,OR($L$54=$BK$3,$L$54=$BL$3,$L$54=$BM$3),$G$54=$CA$57),CD57,IF(AND($C$54=$AH$3,OR($L$54=$BK$3,$L$54=$BL$3,$L$54=$BM$3),$G$54=$CA$58),CD58,IF(AND($C$54=$AH$3,OR($L$54=$BK$3,$L$54=$BL$3,$L$54=$BM$3),$G$54=$CA$59),CD59,IF(AND($C$54=$AH$3,OR($L$54=$BK$3,$L$54=$BL$3,$L$54=$BM$3),$G$54=$CA$60),CD60,IF(AND($C$54=$AH$3,OR($L$54=$BK$3,$L$54=$BL$3,$L$54=$BM$3),$G$54=$CA$61),CD61,IF(AND($C$54=$AH$3,OR($L$54=$BK$3,$L$54=$BL$3,$L$54=$BM$3),$G$54=$CA$62),CD62,0))))))))))))))))))))))</f>
        <v>0</v>
      </c>
      <c r="BL16" s="383">
        <f>IF(AND($C$54=$AH$3,OR($L$54=$BL$3,$L$54=$BM$3),$G$54=$CA$41),CE41,IF(AND($C$54=$AH$3,OR($L$54=$BL$3,$L$54=$BM$3),$G$54=$CA$42),CE42,IF(AND($C$54=$AH$3,OR($L$54=$BL$3,$L$54=$BM$3),$G$54=$CA$43),CE43,IF(AND($C$54=$AH$3,OR($L$54=$BL$3,$L$54=$BM$3),$G$54=$CA$44),CE44,IF(AND($C$54=$AH$3,OR($L$54=$BL$3,$L$54=$BM$3),$G$54=$CA$45),CE45,IF(AND($C$54=$AH$3,OR($L$54=$BL$3,$L$54=$BM$3),$G$54=$CA$46),CE46,IF(AND($C$54=$AH$3,OR($L$54=$BL$3,$L$54=$BM$3),$G$54=$CA$47),CE47,IF(AND($C$54=$AH$3,OR($L$54=$BL$3,$L$54=$BM$3),$G$54=$CA$48),CE48,IF(AND($C$54=$AH$3,OR($L$54=$BL$3,$L$54=$BM$3),$G$54=$CA$49),CE49,IF(AND($C$54=$AH$3,OR($L$54=$BL$3,$L$54=$BM$3),$G$54=$CA$50),CE50,IF(AND($C$54=$AH$3,OR($L$54=$BL$3,$L$54=$BM$3),$G$54=$CA$51),CE51,IF(AND($C$54=$AH$3,OR($L$54=$BL$3,$L$54=$BM$3),$G$54=$CA$52),CE52,IF(AND($C$54=$AH$3,OR($L$54=$BL$3,$L$54=$BM$3),$G$54=$CA$53),CE53,IF(AND($C$54=$AH$3,OR($L$54=$BL$3,$L$54=$BM$3),$G$54=$CA$54),CE54,IF(AND($C$54=$AH$3,OR($L$54=$BL$3,$L$54=$BM$3),$G$54=$CA$55),CE55,IF(AND($C$54=$AH$3,OR($L$54=$BL$3,$L$54=$BM$3),$G$54=$CA$56),CE56,IF(AND($C$54=$AH$3,OR($L$54=$BL$3,$L$54=$BM$3),$G$54=$CA$57),CE57,IF(AND($C$54=$AH$3,OR($L$54=$BL$3,$L$54=$BM$3),$G$54=$CA$58),CE58,IF(AND($C$54=$AH$3,OR($L$54=$BL$3,$L$54=$BM$3),$G$54=$CA$59),CE59,IF(AND($C$54=$AH$3,OR($L$54=$BL$3,$L$54=$BM$3),$G$54=$CA$60),CE60,IF(AND($C$54=$AH$3,OR($L$54=$BL$3,$L$54=$BM$3),$G$54=$CA$61),CE61,IF(AND($C$54=$AH$3,OR($L$54=$BL$3,$L$54=$BM$3),$G$54=$CA$62),CE62,0))))))))))))))))))))))</f>
        <v>0</v>
      </c>
      <c r="BM16" s="383">
        <f>IF(AND($C$54=$AH$3,OR($L$54=$BM$3),$G$54=$CA$41),CF41,IF(AND($C$54=$AH$3,OR($L$54=$BM$3),$G$54=$CA$42),CF42,IF(AND($C$54=$AH$3,OR($L$54=$BM$3),$G$54=$CA$43),CF43,IF(AND($C$54=$AH$3,OR($L$54=$BM$3),$G$54=$CA$44),CF44,IF(AND($C$54=$AH$3,OR($L$54=$BM$3),$G$54=$CA$45),CF45,IF(AND($C$54=$AH$3,OR($L$54=$BM$3),$G$54=$CA$46),CF46,IF(AND($C$54=$AH$3,OR($L$54=$BM$3),$G$54=$CA$47),CF47,IF(AND($C$54=$AH$3,OR($L$54=$BM$3),$G$54=$CA$48),CF48,IF(AND($C$54=$AH$3,OR($L$54=$BM$3),$G$54=$CA$49),CF49,IF(AND($C$54=$AH$3,OR($L$54=$BM$3),$G$54=$CA$50),CF50,IF(AND($C$54=$AH$3,OR($L$54=$BM$3),$G$54=$CA$51),CF51,IF(AND($C$54=$AH$3,OR($L$54=$BM$3),$G$54=$CA$52),CF52,IF(AND($C$54=$AH$3,OR($L$54=$BM$3),$G$54=$CA$53),CF53,IF(AND($C$54=$AH$3,OR($L$54=$BM$3),$G$54=$CA$54),CF54,IF(AND($C$54=$AH$3,OR($L$54=$BM$3),$G$54=$CA$55),CF55,IF(AND($C$54=$AH$3,OR($L$54=$BM$3),$G$54=$CA$56),CF56,IF(AND($C$54=$AH$3,OR($L$54=$BM$3),$G$54=$CA$57),CF57,IF(AND($C$54=$AH$3,OR($L$54=$BM$3),$G$54=$CA$58),CF58,IF(AND($C$54=$AH$3,OR($L$54=$BM$3),$G$54=$CA$59),CF59,IF(AND($C$54=$AH$3,OR($L$54=$BM$3),$G$54=$CA$60),CF60,IF(AND($C$54=$AH$3,OR($L$54=$BM$3),$G$54=$CA$61),CF61,IF(AND($C$54=$AH$3,OR($L$54=$BM$3),$G$54=$CA$62),CF62,0))))))))))))))))))))))</f>
        <v>0</v>
      </c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6"/>
      <c r="CA16" s="395" t="s">
        <v>857</v>
      </c>
      <c r="CB16" s="394" t="s">
        <v>847</v>
      </c>
      <c r="CC16" s="395" t="s">
        <v>1573</v>
      </c>
      <c r="CD16" s="394"/>
      <c r="CE16" s="394" t="s">
        <v>1574</v>
      </c>
      <c r="CF16" s="394" t="s">
        <v>1575</v>
      </c>
      <c r="CG16" s="233"/>
      <c r="CH16" s="233"/>
      <c r="CI16" s="233"/>
      <c r="CJ16" s="233"/>
      <c r="CK16" s="233"/>
      <c r="CL16" s="233"/>
      <c r="CM16" s="233"/>
      <c r="CN16" s="361" t="str">
        <f t="shared" si="2"/>
        <v xml:space="preserve"> </v>
      </c>
      <c r="CO16" s="361" t="str">
        <f t="shared" si="3"/>
        <v xml:space="preserve"> </v>
      </c>
      <c r="CP16" s="361" t="str">
        <f t="shared" si="4"/>
        <v xml:space="preserve"> </v>
      </c>
      <c r="CQ16" s="361" t="str">
        <f t="shared" si="5"/>
        <v xml:space="preserve"> </v>
      </c>
      <c r="CR16" s="361" t="str">
        <f t="shared" si="6"/>
        <v xml:space="preserve"> </v>
      </c>
      <c r="CS16" s="233" t="s">
        <v>942</v>
      </c>
      <c r="CT16" s="233"/>
      <c r="CU16" s="233"/>
      <c r="CV16" s="233" t="s">
        <v>942</v>
      </c>
      <c r="CW16" s="233"/>
      <c r="CX16" s="233"/>
      <c r="CY16" s="233" t="s">
        <v>1221</v>
      </c>
      <c r="CZ16" s="233"/>
      <c r="DA16" s="233" t="s">
        <v>921</v>
      </c>
      <c r="DB16" s="233"/>
      <c r="DC16" s="233" t="s">
        <v>954</v>
      </c>
      <c r="DD16" s="233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419" t="s">
        <v>1632</v>
      </c>
      <c r="DT16" s="422">
        <v>2960</v>
      </c>
      <c r="DU16" s="420">
        <v>1</v>
      </c>
      <c r="DV16" s="420">
        <v>25</v>
      </c>
      <c r="DW16" s="420">
        <v>3</v>
      </c>
      <c r="DX16" s="420" t="s">
        <v>1160</v>
      </c>
      <c r="DY16" s="420">
        <v>25</v>
      </c>
      <c r="DZ16" s="420" t="s">
        <v>1594</v>
      </c>
      <c r="EA16" s="29">
        <v>12</v>
      </c>
      <c r="EB16" s="413" t="str">
        <f t="shared" si="14"/>
        <v>Phantom Light</v>
      </c>
      <c r="EC16" s="409">
        <f t="shared" si="15"/>
        <v>1</v>
      </c>
      <c r="ED16" s="432">
        <f t="shared" si="16"/>
        <v>25</v>
      </c>
      <c r="EE16" s="432">
        <f t="shared" si="17"/>
        <v>3</v>
      </c>
      <c r="EF16" s="432" t="str">
        <f t="shared" si="18"/>
        <v>V; C; L</v>
      </c>
      <c r="EG16" s="432">
        <f t="shared" si="19"/>
        <v>25</v>
      </c>
      <c r="EH16" s="97">
        <f t="shared" si="8"/>
        <v>0</v>
      </c>
      <c r="EI16" s="97">
        <f t="shared" si="9"/>
        <v>0</v>
      </c>
      <c r="EJ16" s="97">
        <f t="shared" si="10"/>
        <v>0</v>
      </c>
      <c r="EK16" s="97">
        <f t="shared" si="11"/>
        <v>0</v>
      </c>
      <c r="EL16" s="97">
        <f t="shared" si="12"/>
        <v>0</v>
      </c>
      <c r="EM16" s="29"/>
      <c r="EN16" s="29"/>
      <c r="EO16" s="29"/>
      <c r="EP16" s="29"/>
      <c r="EQ16" s="29"/>
      <c r="ER16" s="339"/>
      <c r="ES16" s="339"/>
      <c r="ET16" s="417" t="str">
        <f t="shared" si="13"/>
        <v xml:space="preserve"> </v>
      </c>
      <c r="EU16" s="339"/>
      <c r="EV16" s="340"/>
      <c r="EW16" s="340"/>
      <c r="EX16" s="34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</row>
    <row r="17" spans="1:168" ht="15.95" customHeight="1" x14ac:dyDescent="0.25">
      <c r="A17" s="565" t="s">
        <v>18</v>
      </c>
      <c r="B17" s="565"/>
      <c r="C17" s="565"/>
      <c r="D17" s="565"/>
      <c r="E17" s="565"/>
      <c r="F17" s="565"/>
      <c r="G17" s="565"/>
      <c r="H17" s="565"/>
      <c r="I17" s="565"/>
      <c r="J17" s="565"/>
      <c r="K17" s="565"/>
      <c r="L17" s="565"/>
      <c r="M17" s="565"/>
      <c r="N17" s="566"/>
      <c r="O17" s="30"/>
      <c r="P17" s="30"/>
      <c r="Q17" s="30"/>
      <c r="R17" s="30"/>
      <c r="S17" s="30"/>
      <c r="T17" s="30"/>
      <c r="U17" s="30"/>
      <c r="V17" s="30"/>
      <c r="W17" s="8"/>
      <c r="X17" s="3" t="str">
        <f t="shared" si="25"/>
        <v xml:space="preserve"> </v>
      </c>
      <c r="Y17" s="5" t="str">
        <f t="shared" si="22"/>
        <v xml:space="preserve"> </v>
      </c>
      <c r="Z17" s="496"/>
      <c r="AA17" s="496"/>
      <c r="AB17" s="3" t="str">
        <f t="shared" si="23"/>
        <v xml:space="preserve"> </v>
      </c>
      <c r="AC17" s="5" t="str">
        <f t="shared" si="24"/>
        <v xml:space="preserve"> </v>
      </c>
      <c r="AD17" s="94"/>
      <c r="AE17" s="29"/>
      <c r="AF17" s="372"/>
      <c r="AG17" s="29"/>
      <c r="AH17" s="29" t="s">
        <v>1515</v>
      </c>
      <c r="AI17" s="29"/>
      <c r="AJ17" s="29">
        <v>11</v>
      </c>
      <c r="AK17" s="29"/>
      <c r="AL17" s="29">
        <v>15</v>
      </c>
      <c r="AM17" s="376" t="str">
        <f t="shared" si="26"/>
        <v xml:space="preserve"> </v>
      </c>
      <c r="AN17" s="29"/>
      <c r="AO17" s="29"/>
      <c r="AP17" s="36" t="s">
        <v>1568</v>
      </c>
      <c r="AQ17" s="384">
        <f>IF(AND(C42=$AH$1,Feats!$Q$28=1),1,0)+IF(AND(C42=$AH$2,Feats!$Q$29=1),1,0)+IF(AND(C42=$AH$3,Feats!$Q$30=1),1,0)+IF(AND(C42=$AH$4,Feats!$Q$31=1),1,0)+IF(AND(C42=$AH$5,Feats!$Q$32=1),1,0)</f>
        <v>0</v>
      </c>
      <c r="AR17" s="29"/>
      <c r="AS17" s="29">
        <v>15</v>
      </c>
      <c r="AT17" s="29" t="s">
        <v>1434</v>
      </c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33"/>
      <c r="BH17" s="233"/>
      <c r="BI17" s="409" t="s">
        <v>1535</v>
      </c>
      <c r="BJ17" s="383">
        <f>IF(AND($C$54=$AH$4,OR($L$54=$BJ$3,$L$54=$BK$3,$L$54=$BL$3,$L$54=$BM$3),$G$54=$CA$67),CC67,IF(AND($C$54=$AH$4,OR($L$54=$BJ$3,$L$54=$BK$3,$L$54=$BL$3,$L$54=$BM$3),$G$54=$CA$68),CC68,IF(AND($C$54=$AH$4,OR($L$54=$BJ$3,$L$54=$BK$3,$L$54=$BL$3,$L$54=$BM$3),$G$54=$CA$69),CC69,IF(AND($C$54=$AH$4,OR($L$54=$BJ$3,$L$54=$BK$3,$L$54=$BL$3,$L$54=$BM$3),$G$54=$CA$70),CC70,IF(AND($C$54=$AH$4,OR($L$54=$BJ$3,$L$54=$BK$3,$L$54=$BL$3,$L$54=$BM$3),$G$54=$CA$71),CC71,IF(AND($C$54=$AH$4,OR($L$54=$BJ$3,$L$54=$BK$3,$L$54=$BL$3,$L$54=$BM$3),$G$54=$CA$72),CC72,IF(AND($C$54=$AH$4,OR($L$54=$BJ$3,$L$54=$BK$3,$L$54=$BL$3,$L$54=$BM$3),$G$54=$CA$73),CC73,IF(AND($C$54=$AH$4,OR($L$54=$BJ$3,$L$54=$BK$3,$L$54=$BL$3,$L$54=$BM$3),$G$54=$CA$74),CC74,IF(AND($C$54=$AH$4,OR($L$54=$BJ$3,$L$54=$BK$3,$L$54=$BL$3,$L$54=$BM$3),$G$54=$CA$75),CC75,IF(AND($C$54=$AH$4,OR($L$54=$BJ$3,$L$54=$BK$3,$L$54=$BL$3,$L$54=$BM$3),$G$54=$CA$76),CC76,IF(AND($C$54=$AH$4,OR($L$54=$BJ$3,$L$54=$BK$3,$L$54=$BL$3,$L$54=$BM$3),$G$54=$CA$77),CC77,IF(AND($C$54=$AH$4,OR($L$54=$BJ$3,$L$54=$BK$3,$L$54=$BL$3,$L$54=$BM$3),$G$54=$CA$78),CC78,IF(AND($C$54=$AH$4,OR($L$54=$BJ$3,$L$54=$BK$3,$L$54=$BL$3,$L$54=$BM$3),$G$54=$CA$79),CC79,IF(AND($C$54=$AH$4,OR($L$54=$BJ$3,$L$54=$BK$3,$L$54=$BL$3,$L$54=$BM$3),$G$54=$CA$80),CC80,IF(AND($C$54=$AH$4,OR($L$54=$BJ$3,$L$54=$BK$3,$L$54=$BL$3,$L$54=$BM$3),$G$54=$CA$81),CC81,IF(AND($C$54=$AH$4,OR($L$54=$BJ$3,$L$54=$BK$3,$L$54=$BL$3,$L$54=$BM$3),$G$54=$CA$82),CC82,IF(AND($C$54=$AH$4,OR($L$54=$BJ$3,$L$54=$BK$3,$L$54=$BL$3,$L$54=$BM$3),$G$54=$CA$83),CC83,0)))))))))))))))))</f>
        <v>0</v>
      </c>
      <c r="BK17" s="383">
        <f>IF(AND($C$54=$AH$4,OR($L$54=$BK$3,$L$54=$BL$3,$L$54=$BM$3),$G$54=$CA$67),CD67,IF(AND($C$54=$AH$4,OR($L$54=$BK$3,$L$54=$BL$3,$L$54=$BM$3),$G$54=$CA$68),CD68,IF(AND($C$54=$AH$4,OR($L$54=$BK$3,$L$54=$BL$3,$L$54=$BM$3),$G$54=$CA$69),CD69,IF(AND($C$54=$AH$4,OR($L$54=$BK$3,$L$54=$BL$3,$L$54=$BM$3),$G$54=$CA$70),CD70,IF(AND($C$54=$AH$4,OR($L$54=$BK$3,$L$54=$BL$3,$L$54=$BM$3),$G$54=$CA$71),CD71,IF(AND($C$54=$AH$4,OR($L$54=$BK$3,$L$54=$BL$3,$L$54=$BM$3),$G$54=$CA$72),CD72,IF(AND($C$54=$AH$4,OR($L$54=$BK$3,$L$54=$BL$3,$L$54=$BM$3),$G$54=$CA$73),CD73,IF(AND($C$54=$AH$4,OR($L$54=$BK$3,$L$54=$BL$3,$L$54=$BM$3),$G$54=$CA$74),CD74,IF(AND($C$54=$AH$4,OR($L$54=$BK$3,$L$54=$BL$3,$L$54=$BM$3),$G$54=$CA$75),CD75,IF(AND($C$54=$AH$4,OR($L$54=$BK$3,$L$54=$BL$3,$L$54=$BM$3),$G$54=$CA$76),CD76,IF(AND($C$54=$AH$4,OR($L$54=$BK$3,$L$54=$BL$3,$L$54=$BM$3),$G$54=$CA$77),CD77,IF(AND($C$54=$AH$4,OR($L$54=$BK$3,$L$54=$BL$3,$L$54=$BM$3),$G$54=$CA$78),CD78,IF(AND($C$54=$AH$4,OR($L$54=$BK$3,$L$54=$BL$3,$L$54=$BM$3),$G$54=$CA$79),CD79,IF(AND($C$54=$AH$4,OR($L$54=$BK$3,$L$54=$BL$3,$L$54=$BM$3),$G$54=$CA$80),CD80,IF(AND($C$54=$AH$4,OR($L$54=$BK$3,$L$54=$BL$3,$L$54=$BM$3),$G$54=$CA$81),CD81,IF(AND($C$54=$AH$4,OR($L$54=$BK$3,$L$54=$BL$3,$L$54=$BM$3),$G$54=$CA$82),CD82,IF(AND($C$54=$AH$4,OR($L$54=$BK$3,$L$54=$BL$3,$L$54=$BM$3),$G$54=$CA$83),CD83,0)))))))))))))))))</f>
        <v>0</v>
      </c>
      <c r="BL17" s="383">
        <f>IF(AND($C$54=$AH$4,OR($L$54=$BL$3,$L$54=$BM$3),$G$54=$CA$67),CE67,IF(AND($C$54=$AH$4,OR($L$54=$BL$3,$L$54=$BM$3),$G$54=$CA$68),CE68,IF(AND($C$54=$AH$4,OR($L$54=$BL$3,$L$54=$BM$3),$G$54=$CA$69),CE69,IF(AND($C$54=$AH$4,OR($L$54=$BL$3,$L$54=$BM$3),$G$54=$CA$70),CE70,IF(AND($C$54=$AH$4,OR($L$54=$BL$3,$L$54=$BM$3),$G$54=$CA$71),CE71,IF(AND($C$54=$AH$4,OR($L$54=$BL$3,$L$54=$BM$3),$G$54=$CA$72),CE72,IF(AND($C$54=$AH$4,OR($L$54=$BL$3,$L$54=$BM$3),$G$54=$CA$73),CE73,IF(AND($C$54=$AH$4,OR($L$54=$BL$3,$L$54=$BM$3),$G$54=$CA$74),CE74,IF(AND($C$54=$AH$4,OR($L$54=$BL$3,$L$54=$BM$3),$G$54=$CA$75),CE75,IF(AND($C$54=$AH$4,OR($L$54=$BL$3,$L$54=$BM$3),$G$54=$CA$76),CE76,IF(AND($C$54=$AH$4,OR($L$54=$BL$3,$L$54=$BM$3),$G$54=$CA$77),CE77,IF(AND($C$54=$AH$4,OR($L$54=$BL$3,$L$54=$BM$3),$G$54=$CA$78),CE78,IF(AND($C$54=$AH$4,OR($L$54=$BL$3,$L$54=$BM$3),$G$54=$CA$79),CE79,IF(AND($C$54=$AH$4,OR($L$54=$BL$3,$L$54=$BM$3),$G$54=$CA$80),CE80,IF(AND($C$54=$AH$4,OR($L$54=$BL$3,$L$54=$BM$3),$G$54=$CA$81),CE81,IF(AND($C$54=$AH$4,OR($L$54=$BL$3,$L$54=$BM$3),$G$54=$CA$82),CE82,IF(AND($C$54=$AH$4,OR($L$54=$BL$3,$L$54=$BM$3),$G$54=$CA$83),CE83,0)))))))))))))))))</f>
        <v>0</v>
      </c>
      <c r="BM17" s="383">
        <f>IF(AND($C$54=$AH$4,OR($L$54=$BM$3),$G$54=$CA$67),CF67,IF(AND($C$54=$AH$4,OR($L$54=$BM$3),$G$54=$CA$68),CF68,IF(AND($C$54=$AH$4,OR($L$54=$BM$3),$G$54=$CA$69),CF69,IF(AND($C$54=$AH$4,OR($L$54=$BM$3),$G$54=$CA$70),CF70,IF(AND($C$54=$AH$4,OR($L$54=$BM$3),$G$54=$CA$71),CF71,IF(AND($C$54=$AH$4,OR($L$54=$BM$3),$G$54=$CA$72),CF72,IF(AND($C$54=$AH$4,OR($L$54=$BM$3),$G$54=$CA$73),CF73,IF(AND($C$54=$AH$4,OR($L$54=$BM$3),$G$54=$CA$74),CF74,IF(AND($C$54=$AH$4,OR($L$54=$BM$3),$G$54=$CA$75),CF75,IF(AND($C$54=$AH$4,OR($L$54=$BM$3),$G$54=$CA$76),CF76,IF(AND($C$54=$AH$4,OR($L$54=$BM$3),$G$54=$CA$77),CF77,IF(AND($C$54=$AH$4,OR($L$54=$BM$3),$G$54=$CA$78),CF78,IF(AND($C$54=$AH$4,OR($L$54=$BM$3),$G$54=$CA$79),CF79,IF(AND($C$54=$AH$4,OR($L$54=$BM$3),$G$54=$CA$80),CF80,IF(AND($C$54=$AH$4,OR($L$54=$BM$3),$G$54=$CA$81),CF81,IF(AND($C$54=$AH$4,OR($L$54=$BM$3),$G$54=$CA$82),CF82,IF(AND($C$54=$AH$4,OR($L$54=$BM$3),$G$54=$CA$83),CF83,0)))))))))))))))))</f>
        <v>0</v>
      </c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6"/>
      <c r="CA17" s="395" t="s">
        <v>858</v>
      </c>
      <c r="CB17" s="394" t="s">
        <v>847</v>
      </c>
      <c r="CC17" s="395" t="s">
        <v>1573</v>
      </c>
      <c r="CD17" s="394"/>
      <c r="CE17" s="394" t="s">
        <v>1574</v>
      </c>
      <c r="CF17" s="394" t="s">
        <v>1575</v>
      </c>
      <c r="CG17" s="233"/>
      <c r="CH17" s="233"/>
      <c r="CI17" s="233"/>
      <c r="CJ17" s="233"/>
      <c r="CK17" s="233"/>
      <c r="CL17" s="233"/>
      <c r="CM17" s="233"/>
      <c r="CN17" s="361" t="str">
        <f t="shared" si="2"/>
        <v xml:space="preserve"> </v>
      </c>
      <c r="CO17" s="361" t="str">
        <f t="shared" si="3"/>
        <v xml:space="preserve"> </v>
      </c>
      <c r="CP17" s="361" t="str">
        <f t="shared" si="4"/>
        <v xml:space="preserve"> </v>
      </c>
      <c r="CQ17" s="361" t="str">
        <f t="shared" si="5"/>
        <v xml:space="preserve"> </v>
      </c>
      <c r="CR17" s="361" t="str">
        <f t="shared" si="6"/>
        <v xml:space="preserve"> </v>
      </c>
      <c r="CS17" s="233" t="s">
        <v>1469</v>
      </c>
      <c r="CT17" s="233"/>
      <c r="CU17" s="233"/>
      <c r="CV17" s="233" t="s">
        <v>943</v>
      </c>
      <c r="CW17" s="233"/>
      <c r="CX17" s="233"/>
      <c r="CY17" s="233" t="s">
        <v>1220</v>
      </c>
      <c r="CZ17" s="233"/>
      <c r="DA17" s="233" t="s">
        <v>922</v>
      </c>
      <c r="DB17" s="233"/>
      <c r="DC17" s="233" t="s">
        <v>913</v>
      </c>
      <c r="DD17" s="233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421" t="s">
        <v>1633</v>
      </c>
      <c r="DT17" s="422">
        <v>3035</v>
      </c>
      <c r="DU17" s="420">
        <v>1</v>
      </c>
      <c r="DV17" s="420">
        <v>35</v>
      </c>
      <c r="DW17" s="420">
        <v>3</v>
      </c>
      <c r="DX17" s="420"/>
      <c r="DY17" s="420">
        <v>26</v>
      </c>
      <c r="DZ17" s="420" t="s">
        <v>1166</v>
      </c>
      <c r="EA17" s="29"/>
      <c r="EB17" s="413" t="str">
        <f t="shared" si="14"/>
        <v>Vohrtix  Light</v>
      </c>
      <c r="EC17" s="409">
        <f t="shared" si="15"/>
        <v>1</v>
      </c>
      <c r="ED17" s="432">
        <f t="shared" si="16"/>
        <v>35</v>
      </c>
      <c r="EE17" s="432">
        <f t="shared" si="17"/>
        <v>3</v>
      </c>
      <c r="EF17" s="432">
        <f t="shared" si="18"/>
        <v>0</v>
      </c>
      <c r="EG17" s="432">
        <f t="shared" si="19"/>
        <v>26</v>
      </c>
      <c r="EH17" s="97">
        <f t="shared" si="8"/>
        <v>0</v>
      </c>
      <c r="EI17" s="97">
        <f t="shared" si="9"/>
        <v>0</v>
      </c>
      <c r="EJ17" s="97">
        <f t="shared" si="10"/>
        <v>0</v>
      </c>
      <c r="EK17" s="97">
        <f t="shared" si="11"/>
        <v>0</v>
      </c>
      <c r="EL17" s="97">
        <f t="shared" si="12"/>
        <v>0</v>
      </c>
      <c r="EM17" s="29"/>
      <c r="EN17" s="29"/>
      <c r="EO17" s="29"/>
      <c r="EP17" s="29"/>
      <c r="EQ17" s="29"/>
      <c r="ER17" s="339"/>
      <c r="ES17" s="339"/>
      <c r="ET17" s="417" t="str">
        <f t="shared" si="13"/>
        <v xml:space="preserve"> </v>
      </c>
      <c r="EU17" s="339"/>
      <c r="EV17" s="340"/>
      <c r="EW17" s="340"/>
      <c r="EX17" s="34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</row>
    <row r="18" spans="1:168" ht="15.95" customHeight="1" x14ac:dyDescent="0.25">
      <c r="A18" s="29"/>
      <c r="B18" s="218" t="s">
        <v>1</v>
      </c>
      <c r="C18" s="51" t="s">
        <v>6</v>
      </c>
      <c r="D18" s="198">
        <f>D16+D14+D12+D10+D8+D6</f>
        <v>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572" t="s">
        <v>182</v>
      </c>
      <c r="P18" s="573"/>
      <c r="Q18" s="573"/>
      <c r="R18" s="574"/>
      <c r="S18" s="33"/>
      <c r="T18" s="601" t="s">
        <v>200</v>
      </c>
      <c r="U18" s="601"/>
      <c r="V18" s="601"/>
      <c r="W18" s="29"/>
      <c r="X18" s="3" t="str">
        <f t="shared" si="25"/>
        <v xml:space="preserve"> </v>
      </c>
      <c r="Y18" s="5" t="str">
        <f t="shared" si="22"/>
        <v xml:space="preserve"> </v>
      </c>
      <c r="Z18" s="496"/>
      <c r="AA18" s="496"/>
      <c r="AB18" s="3" t="str">
        <f t="shared" si="23"/>
        <v xml:space="preserve"> </v>
      </c>
      <c r="AC18" s="5" t="str">
        <f t="shared" si="24"/>
        <v xml:space="preserve"> </v>
      </c>
      <c r="AD18" s="94"/>
      <c r="AE18" s="29"/>
      <c r="AF18" s="373" t="s">
        <v>24</v>
      </c>
      <c r="AG18" s="29"/>
      <c r="AH18" s="226" t="s">
        <v>173</v>
      </c>
      <c r="AI18" s="29"/>
      <c r="AJ18" s="29">
        <v>12</v>
      </c>
      <c r="AK18" s="29"/>
      <c r="AL18" s="29">
        <v>16</v>
      </c>
      <c r="AM18" s="376" t="str">
        <f t="shared" si="26"/>
        <v xml:space="preserve"> </v>
      </c>
      <c r="AN18" s="29"/>
      <c r="AO18" s="380" t="s">
        <v>1567</v>
      </c>
      <c r="AP18" s="469">
        <f>IF(AQ17=1,"Yes",0)</f>
        <v>0</v>
      </c>
      <c r="AQ18" s="470"/>
      <c r="AR18" s="29"/>
      <c r="AS18" s="29">
        <v>16</v>
      </c>
      <c r="AT18" s="29" t="s">
        <v>1434</v>
      </c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33"/>
      <c r="BH18" s="233"/>
      <c r="BI18" s="409" t="s">
        <v>1536</v>
      </c>
      <c r="BJ18" s="383">
        <f>IF(AND($C$54=$AH$5,OR($L$54=$BJ$3,$L$54=$BK$3,$L$54=$BL$3,$L$54=$BM$3),$G$54=$CA$88),CC88,IF(AND($C$54=$AH$5,OR($L$54=$BJ$3,$L$54=$BK$3,$L$54=$BL$3,$L$54=$BM$3),$G$54=$CA$89),CC89,IF(AND($C$54=$AH$5,OR($L$54=$BJ$3,$L$54=$BK$3,$L$54=$BL$3,$L$54=$BM$3),$G$54=$CA$90),CC90,IF(AND($C$54=$AH$5,OR($L$54=$BJ$3,$L$54=$BK$3,$L$54=$BL$3,$L$54=$BM$3),$G$54=$CA$91),CC91,IF(AND($C$54=$AH$5,OR($L$54=$BJ$3,$L$54=$BK$3,$L$54=$BL$3,$L$54=$BM$3),$G$54=$CA$92),CC92,IF(AND($C$54=$AH$5,OR($L$54=$BJ$3,$L$54=$BK$3,$L$54=$BL$3,$L$54=$BM$3),$G$54=$CA$93),CC93,IF(AND($C$54=$AH$5,OR($L$54=$BJ$3,$L$54=$BK$3,$L$54=$BL$3,$L$54=$BM$3),$G$54=$CA$94),CC94,IF(AND($C$54=$AH$5,OR($L$54=$BJ$3,$L$54=$BK$3,$L$54=$BL$3,$L$54=$BM$3),$G$54=$CA$95),CC95,IF(AND($C$54=$AH$5,OR($L$54=$BJ$3,$L$54=$BK$3,$L$54=$BL$3,$L$54=$BM$3),$G$54=$CA$96),CC96,IF(AND($C$54=$AH$5,OR($L$54=$BJ$3,$L$54=$BK$3,$L$54=$BL$3,$L$54=$BM$3),$G$54=$CA$97),CC97,IF(AND($C$54=$AH$5,OR($L$54=$BJ$3,$L$54=$BK$3,$L$54=$BL$3,$L$54=$BM$3),$G$54=$CA$98),CC98,IF(AND($C$54=$AH$5,OR($L$54=$BJ$3,$L$54=$BK$3,$L$54=$BL$3,$L$54=$BM$3),$G$54=$CA$99),CC99,IF(AND($C$54=$AH$5,OR($L$54=$BJ$3,$L$54=$BK$3,$L$54=$BL$3,$L$54=$BM$3),$G$54=$CA$100),CC100,IF(AND($C$54=$AH$5,OR($L$54=$BJ$3,$L$54=$BK$3,$L$54=$BL$3,$L$54=$BM$3),$G$54=$CA$101),CC101,IF(AND($C$54=$AH$5,OR($L$54=$BJ$3,$L$54=$BK$3,$L$54=$BL$3,$L$54=$BM$3),$G$54=$CA$102),CC102,IF(AND($C$54=$AH$5,OR($L$54=$BJ$3,$L$54=$BK$3,$L$54=$BL$3,$L$54=$BM$3),$G$54=$CA$103),CC103,IF(AND($C$54=$AH$5,OR($L$54=$BJ$3,$L$54=$BK$3,$L$54=$BL$3,$L$54=$BM$3),$G$54=$CA$104),CC104,IF(AND($C$54=$AH$5,OR($L$54=$BJ$3,$L$54=$BK$3,$L$54=$BL$3,$L$54=$BM$3),$G$54=$CA$105),CC105,0))))))))))))))))))</f>
        <v>0</v>
      </c>
      <c r="BK18" s="383">
        <f>IF(AND($C$54=$AH$5,OR($L$54=$BK$3,$L$54=$BL$3,$L$54=$BM$3),$G$54=$CA$88),CD88,IF(AND($C$54=$AH$5,OR($L$54=$BK$3,$L$54=$BL$3,$L$54=$BM$3),$G$54=$CA$89),CD89,IF(AND($C$54=$AH$5,OR($L$54=$BK$3,$L$54=$BL$3,$L$54=$BM$3),$G$54=$CA$90),CD90,IF(AND($C$54=$AH$5,OR($L$54=$BK$3,$L$54=$BL$3,$L$54=$BM$3),$G$54=$CA$91),CD91,IF(AND($C$54=$AH$5,OR($L$54=$BK$3,$L$54=$BL$3,$L$54=$BM$3),$G$54=$CA$92),CD92,IF(AND($C$54=$AH$5,OR($L$54=$BK$3,$L$54=$BL$3,$L$54=$BM$3),$G$54=$CA$93),CD93,IF(AND($C$54=$AH$5,OR($L$54=$BK$3,$L$54=$BL$3,$L$54=$BM$3),$G$54=$CA$94),CD94,IF(AND($C$54=$AH$5,OR($L$54=$BK$3,$L$54=$BL$3,$L$54=$BM$3),$G$54=$CA$95),CD95,IF(AND($C$54=$AH$5,OR($L$54=$BK$3,$L$54=$BL$3,$L$54=$BM$3),$G$54=$CA$96),CD96,IF(AND($C$54=$AH$5,OR($L$54=$BK$3,$L$54=$BL$3,$L$54=$BM$3),$G$54=$CA$97),CD97,IF(AND($C$54=$AH$5,OR($L$54=$BK$3,$L$54=$BL$3,$L$54=$BM$3),$G$54=$CA$98),CD98,IF(AND($C$54=$AH$5,OR($L$54=$BK$3,$L$54=$BL$3,$L$54=$BM$3),$G$54=$CA$99),CD99,IF(AND($C$54=$AH$5,OR($L$54=$BK$3,$L$54=$BL$3,$L$54=$BM$3),$G$54=$CA$100),CD100,IF(AND($C$54=$AH$5,OR($L$54=$BK$3,$L$54=$BL$3,$L$54=$BM$3),$G$54=$CA$101),CD101,IF(AND($C$54=$AH$5,OR($L$54=$BK$3,$L$54=$BL$3,$L$54=$BM$3),$G$54=$CA$102),CD102,IF(AND($C$54=$AH$5,OR($L$54=$BK$3,$L$54=$BL$3,$L$54=$BM$3),$G$54=$CA$103),CD103,IF(AND($C$54=$AH$5,OR($L$54=$BK$3,$L$54=$BL$3,$L$54=$BM$3),$G$54=$CA$104),CD104,IF(AND($C$54=$AH$5,OR($L$54=$BK$3,$L$54=$BL$3,$L$54=$BM$3),$G$54=$CA$105),CD105,0))))))))))))))))))</f>
        <v>0</v>
      </c>
      <c r="BL18" s="383">
        <f>IF(AND($C$54=$AH$5,OR($L$54=$BL$3,$L$54=$BM$3),$G$54=$CA$88),CE88,IF(AND($C$54=$AH$5,OR($L$54=$BL$3,$L$54=$BM$3),$G$54=$CA$89),CE89,IF(AND($C$54=$AH$5,OR($L$54=$BL$3,$L$54=$BM$3),$G$54=$CA$90),CE90,IF(AND($C$54=$AH$5,OR($L$54=$BL$3,$L$54=$BM$3),$G$54=$CA$91),CE91,IF(AND($C$54=$AH$5,OR($L$54=$BL$3,$L$54=$BM$3),$G$54=$CA$92),CE92,IF(AND($C$54=$AH$5,OR($L$54=$BL$3,$L$54=$BM$3),$G$54=$CA$93),CE93,IF(AND($C$54=$AH$5,OR($L$54=$BL$3,$L$54=$BM$3),$G$54=$CA$94),CE94,IF(AND($C$54=$AH$5,OR($L$54=$BL$3,$L$54=$BM$3),$G$54=$CA$95),CE95,IF(AND($C$54=$AH$5,OR($L$54=$BL$3,$L$54=$BM$3),$G$54=$CA$96),CE96,IF(AND($C$54=$AH$5,OR($L$54=$BL$3,$L$54=$BM$3),$G$54=$CA$97),CE97,IF(AND($C$54=$AH$5,OR($L$54=$BL$3,$L$54=$BM$3),$G$54=$CA$98),CE98,IF(AND($C$54=$AH$5,OR($L$54=$BL$3,$L$54=$BM$3),$G$54=$CA$99),CE99,IF(AND($C$54=$AH$5,OR($L$54=$BL$3,$L$54=$BM$3),$G$54=$CA$100),CE100,IF(AND($C$54=$AH$5,OR($L$54=$BL$3,$L$54=$BM$3),$G$54=$CA$101),CE101,IF(AND($C$54=$AH$5,OR($L$54=$BL$3,$L$54=$BM$3),$G$54=$CA$102),CE102,IF(AND($C$54=$AH$5,OR($L$54=$BL$3,$L$54=$BM$3),$G$54=$CA$103),CE103,IF(AND($C$54=$AH$5,OR($L$54=$BL$3,$L$54=$BM$3),$G$54=$CA$104),CE104,IF(AND($C$54=$AH$5,OR($L$54=$BL$3,$L$54=$BM$3),$G$54=$CA$105),CE105,0))))))))))))))))))</f>
        <v>0</v>
      </c>
      <c r="BM18" s="383">
        <f>IF(AND($C$54=$AH$5,OR($L$54=$BM$3),$G$54=$CA$88),CF88,IF(AND($C$54=$AH$5,OR($L$54=$BM$3),$G$54=$CA$89),CF89,IF(AND($C$54=$AH$5,OR($L$54=$BM$3),$G$54=$CA$90),CF90,IF(AND($C$54=$AH$5,OR($L$54=$BM$3),$G$54=$CA$91),CF91,IF(AND($C$54=$AH$5,OR($L$54=$BM$3),$G$54=$CA$92),CF92,IF(AND($C$54=$AH$5,OR($L$54=$BM$3),$G$54=$CA$93),CF93,IF(AND($C$54=$AH$5,OR($L$54=$BM$3),$G$54=$CA$94),CF94,IF(AND($C$54=$AH$5,OR($L$54=$BM$3),$G$54=$CA$95),CF95,IF(AND($C$54=$AH$5,OR($L$54=$BM$3),$G$54=$CA$96),CF96,IF(AND($C$54=$AH$5,OR($L$54=$BM$3),$G$54=$CA$97),CF97,IF(AND($C$54=$AH$5,OR($L$54=$BM$3),$G$54=$CA$98),CF98,IF(AND($C$54=$AH$5,OR($L$54=$BM$3),$G$54=$CA$99),CF99,IF(AND($C$54=$AH$5,OR($L$54=$BM$3),$G$54=$CA$100),CF100,IF(AND($C$54=$AH$5,OR($L$54=$BM$3),$G$54=$CA$101),CF101,IF(AND($C$54=$AH$5,OR($L$54=$BM$3),$G$54=$CA$102),CF102,IF(AND($C$54=$AH$5,OR($L$54=$BM$3),$G$54=$CA$103),CF103,IF(AND($C$54=$AH$5,OR($L$54=$BM$3),$G$54=$CA$104),CF104,IF(AND($C$54=$AH$5,OR($L$54=$BM$3),$G$54=$CA$105),CF105,0))))))))))))))))))</f>
        <v>0</v>
      </c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6"/>
      <c r="CA18" s="398" t="s">
        <v>1542</v>
      </c>
      <c r="CB18" s="394" t="s">
        <v>847</v>
      </c>
      <c r="CC18" s="394" t="s">
        <v>1574</v>
      </c>
      <c r="CD18" s="395" t="s">
        <v>1573</v>
      </c>
      <c r="CE18" s="394" t="s">
        <v>1574</v>
      </c>
      <c r="CF18" s="394" t="s">
        <v>1575</v>
      </c>
      <c r="CG18" s="233"/>
      <c r="CH18" s="233"/>
      <c r="CI18" s="233"/>
      <c r="CJ18" s="233"/>
      <c r="CK18" s="233"/>
      <c r="CL18" s="233"/>
      <c r="CM18" s="233"/>
      <c r="CN18" s="361" t="str">
        <f t="shared" si="2"/>
        <v xml:space="preserve"> </v>
      </c>
      <c r="CO18" s="361" t="str">
        <f t="shared" si="3"/>
        <v xml:space="preserve"> </v>
      </c>
      <c r="CP18" s="361" t="str">
        <f t="shared" si="4"/>
        <v xml:space="preserve"> </v>
      </c>
      <c r="CQ18" s="361" t="str">
        <f t="shared" si="5"/>
        <v xml:space="preserve"> </v>
      </c>
      <c r="CR18" s="361" t="str">
        <f t="shared" si="6"/>
        <v xml:space="preserve"> </v>
      </c>
      <c r="CS18" s="233" t="s">
        <v>1470</v>
      </c>
      <c r="CT18" s="233"/>
      <c r="CU18" s="233"/>
      <c r="CV18" s="233" t="s">
        <v>921</v>
      </c>
      <c r="CW18" s="233"/>
      <c r="CX18" s="233"/>
      <c r="CY18" s="233" t="s">
        <v>941</v>
      </c>
      <c r="CZ18" s="233"/>
      <c r="DA18" s="233" t="s">
        <v>951</v>
      </c>
      <c r="DB18" s="233"/>
      <c r="DC18" s="233" t="s">
        <v>914</v>
      </c>
      <c r="DD18" s="233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421" t="s">
        <v>1634</v>
      </c>
      <c r="DT18" s="422">
        <v>3120</v>
      </c>
      <c r="DU18" s="420">
        <v>1</v>
      </c>
      <c r="DV18" s="420">
        <v>20</v>
      </c>
      <c r="DW18" s="420">
        <v>3</v>
      </c>
      <c r="DX18" s="420"/>
      <c r="DY18" s="420">
        <v>25</v>
      </c>
      <c r="DZ18" s="420" t="s">
        <v>1165</v>
      </c>
      <c r="EA18" s="29">
        <v>14</v>
      </c>
      <c r="EB18" s="413" t="str">
        <f t="shared" si="14"/>
        <v>Rosenkov Light</v>
      </c>
      <c r="EC18" s="409">
        <f t="shared" si="15"/>
        <v>1</v>
      </c>
      <c r="ED18" s="432">
        <f t="shared" si="16"/>
        <v>20</v>
      </c>
      <c r="EE18" s="432">
        <f t="shared" si="17"/>
        <v>3</v>
      </c>
      <c r="EF18" s="432">
        <f t="shared" si="18"/>
        <v>0</v>
      </c>
      <c r="EG18" s="432">
        <f t="shared" si="19"/>
        <v>25</v>
      </c>
      <c r="EH18" s="97">
        <f t="shared" si="8"/>
        <v>0</v>
      </c>
      <c r="EI18" s="97">
        <f t="shared" si="9"/>
        <v>0</v>
      </c>
      <c r="EJ18" s="97">
        <f t="shared" si="10"/>
        <v>0</v>
      </c>
      <c r="EK18" s="97">
        <f t="shared" si="11"/>
        <v>0</v>
      </c>
      <c r="EL18" s="97">
        <f t="shared" si="12"/>
        <v>0</v>
      </c>
      <c r="EM18" s="29"/>
      <c r="EN18" s="29"/>
      <c r="EO18" s="29"/>
      <c r="EP18" s="29"/>
      <c r="EQ18" s="29"/>
      <c r="ER18" s="339"/>
      <c r="ES18" s="339"/>
      <c r="ET18" s="417" t="str">
        <f t="shared" si="13"/>
        <v xml:space="preserve"> </v>
      </c>
      <c r="EU18" s="339"/>
      <c r="EV18" s="340"/>
      <c r="EW18" s="340"/>
      <c r="EX18" s="34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</row>
    <row r="19" spans="1:168" ht="15" customHeight="1" x14ac:dyDescent="0.25">
      <c r="A19" s="559" t="s">
        <v>27</v>
      </c>
      <c r="B19" s="559"/>
      <c r="C19" s="559"/>
      <c r="D19" s="559"/>
      <c r="E19" s="559"/>
      <c r="F19" s="559"/>
      <c r="G19" s="559"/>
      <c r="H19" s="559"/>
      <c r="I19" s="559"/>
      <c r="J19" s="559"/>
      <c r="K19" s="559"/>
      <c r="L19" s="559"/>
      <c r="M19" s="29"/>
      <c r="N19" s="29"/>
      <c r="O19" s="567" t="s">
        <v>26</v>
      </c>
      <c r="P19" s="567"/>
      <c r="Q19" s="562">
        <f>AF12+AF19+AF15+AE22</f>
        <v>0</v>
      </c>
      <c r="R19" s="562"/>
      <c r="S19" s="8"/>
      <c r="T19" s="567" t="s">
        <v>26</v>
      </c>
      <c r="U19" s="567"/>
      <c r="V19" s="562">
        <f>IF(AD28=" ",0,AD28)+AE23+IF(Y7=AH20,IF(AF7=1,5,IF(OR(AF7=2,AF7=3),6,IF(OR(AF7=4,AF7=5),7,IF(OR(AF7=6,AF7=7),8,IF(OR(AF7=8,AF7=9),9,IF(OR(AF7=10,AF7=11),10,IF(OR(AF7=12,AF7=13),12,IF(OR(AF7=14,AF7=15),14,IF(OR(AF7=16,AF7=17),16,IF(OR(AF7=18,AF7=19),18,IF(AF7=20,20,0))))))))))))</f>
        <v>0</v>
      </c>
      <c r="W19" s="29"/>
      <c r="X19" s="3" t="str">
        <f t="shared" si="25"/>
        <v xml:space="preserve"> </v>
      </c>
      <c r="Y19" s="5" t="str">
        <f t="shared" si="22"/>
        <v xml:space="preserve"> </v>
      </c>
      <c r="Z19" s="496"/>
      <c r="AA19" s="496"/>
      <c r="AB19" s="3" t="str">
        <f t="shared" si="23"/>
        <v xml:space="preserve"> </v>
      </c>
      <c r="AC19" s="5" t="str">
        <f t="shared" si="24"/>
        <v xml:space="preserve"> </v>
      </c>
      <c r="AD19" s="94"/>
      <c r="AE19" s="29"/>
      <c r="AF19" s="366">
        <f>IF(Feats!Q18=1,1*General!AF7,0)+IF(Feats!Q19=1,1*General!AF7,0)</f>
        <v>0</v>
      </c>
      <c r="AG19" s="29"/>
      <c r="AH19" s="226" t="s">
        <v>174</v>
      </c>
      <c r="AI19" s="29"/>
      <c r="AJ19" s="29">
        <v>13</v>
      </c>
      <c r="AK19" s="29"/>
      <c r="AL19" s="29">
        <v>17</v>
      </c>
      <c r="AM19" s="376" t="str">
        <f t="shared" si="26"/>
        <v xml:space="preserve"> </v>
      </c>
      <c r="AN19" s="29"/>
      <c r="AO19" s="380" t="s">
        <v>777</v>
      </c>
      <c r="AP19" s="469">
        <f>IF(BJ9="Recoil penalty -1",1,0)+IF(BK9="Recoil penalty -1",1,0)+IF(BL9="Recoil penalty -1",1,0)+IF(BM9="Recoil penalty -1",1,0)+IF(N42=CS31,-2,0)+IF(S42=CS31,-2,0)+IF(W42=CS31,-2,0)+IF(N42=CV34,1,0)+IF(S42=CV34,1,0)+IF(W42=CV34,1,0)+IF(N42=CV35,2,0)+IF(S42=CV35,2,0)+IF(W42=CV35,2,0)+IF(N42=CV36,3,0)+IF(S42=CV36,3,0)+IF(W42=CV36,3,0)+IF(N42=CY30,1,0)+IF(S42=CY30,1,0)+IF(W42=CY30,1,0)+IF(N42=CY31,2,0)+IF(S42=CY31,2,0)+IF(W42=CY31,2,0)+IF(N42=CY32,2,0)+IF(S42=CY32,2,0)+IF(W42=CY32,2,0)+IF(AB27=DS23,1,0)+IF(AB27=DS52,2,0)+IF(AB27=DS77,3,0)</f>
        <v>0</v>
      </c>
      <c r="AQ19" s="470"/>
      <c r="AR19" s="29"/>
      <c r="AS19" s="29">
        <v>17</v>
      </c>
      <c r="AT19" s="29" t="s">
        <v>1434</v>
      </c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33"/>
      <c r="BH19" s="233"/>
      <c r="BI19" s="409" t="s">
        <v>1581</v>
      </c>
      <c r="BJ19" s="383">
        <f>IF(BJ14&gt;0,BJ14,IF(BJ15&gt;0,BJ15,IF(BJ16&gt;0,BJ16,IF(BJ17&gt;0,BJ17,IF(BJ18&gt;0,BJ18,0)))))</f>
        <v>0</v>
      </c>
      <c r="BK19" s="383">
        <f>IF(BK14&gt;0,BK14,IF(BK15&gt;0,BK15,IF(BK16&gt;0,BK16,IF(BK17&gt;0,BK17,IF(BK18&gt;0,BK18,0)))))</f>
        <v>0</v>
      </c>
      <c r="BL19" s="383">
        <f>IF(BL14&gt;0,BL14,IF(BL15&gt;0,BL15,IF(BL16&gt;0,BL16,IF(BL17&gt;0,BL17,IF(BL18&gt;0,BL18,0)))))</f>
        <v>0</v>
      </c>
      <c r="BM19" s="383">
        <f>IF(BM14&gt;0,BM14,IF(BM15&gt;0,BM15,IF(BM16&gt;0,BM16,IF(BM17&gt;0,BM17,IF(BM18&gt;0,BM18,0)))))</f>
        <v>0</v>
      </c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6"/>
      <c r="CA19" s="398" t="s">
        <v>1541</v>
      </c>
      <c r="CB19" s="394" t="s">
        <v>847</v>
      </c>
      <c r="CC19" s="395" t="s">
        <v>1573</v>
      </c>
      <c r="CD19" s="399"/>
      <c r="CE19" s="394" t="s">
        <v>1574</v>
      </c>
      <c r="CF19" s="394" t="s">
        <v>1575</v>
      </c>
      <c r="CG19" s="233"/>
      <c r="CH19" s="233"/>
      <c r="CI19" s="233"/>
      <c r="CJ19" s="233"/>
      <c r="CK19" s="233"/>
      <c r="CL19" s="233"/>
      <c r="CM19" s="233"/>
      <c r="CN19" s="361" t="str">
        <f t="shared" si="2"/>
        <v xml:space="preserve"> </v>
      </c>
      <c r="CO19" s="361" t="str">
        <f t="shared" si="3"/>
        <v xml:space="preserve"> </v>
      </c>
      <c r="CP19" s="361" t="str">
        <f t="shared" si="4"/>
        <v xml:space="preserve"> </v>
      </c>
      <c r="CQ19" s="361" t="str">
        <f t="shared" si="5"/>
        <v xml:space="preserve"> </v>
      </c>
      <c r="CR19" s="361" t="str">
        <f t="shared" si="6"/>
        <v xml:space="preserve"> </v>
      </c>
      <c r="CS19" s="233" t="s">
        <v>921</v>
      </c>
      <c r="CT19" s="233"/>
      <c r="CU19" s="233"/>
      <c r="CV19" s="233" t="s">
        <v>922</v>
      </c>
      <c r="CW19" s="233"/>
      <c r="CX19" s="233"/>
      <c r="CY19" s="233" t="s">
        <v>942</v>
      </c>
      <c r="CZ19" s="233"/>
      <c r="DA19" s="233" t="s">
        <v>1216</v>
      </c>
      <c r="DB19" s="233"/>
      <c r="DC19" s="233" t="s">
        <v>944</v>
      </c>
      <c r="DD19" s="233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419" t="s">
        <v>1635</v>
      </c>
      <c r="DT19" s="422">
        <v>3200</v>
      </c>
      <c r="DU19" s="420">
        <v>0</v>
      </c>
      <c r="DV19" s="420">
        <v>25</v>
      </c>
      <c r="DW19" s="420">
        <v>4</v>
      </c>
      <c r="DX19" s="420" t="s">
        <v>1163</v>
      </c>
      <c r="DY19" s="420">
        <v>18</v>
      </c>
      <c r="DZ19" s="420" t="s">
        <v>1673</v>
      </c>
      <c r="EA19" s="29"/>
      <c r="EB19" s="413" t="str">
        <f t="shared" si="14"/>
        <v>Project Phoenix Light</v>
      </c>
      <c r="EC19" s="409">
        <f t="shared" si="15"/>
        <v>0</v>
      </c>
      <c r="ED19" s="432">
        <f t="shared" si="16"/>
        <v>25</v>
      </c>
      <c r="EE19" s="432">
        <f t="shared" si="17"/>
        <v>4</v>
      </c>
      <c r="EF19" s="432" t="str">
        <f t="shared" si="18"/>
        <v>V; A; L</v>
      </c>
      <c r="EG19" s="432">
        <f t="shared" si="19"/>
        <v>18</v>
      </c>
      <c r="EH19" s="97">
        <f t="shared" si="8"/>
        <v>0</v>
      </c>
      <c r="EI19" s="97">
        <f t="shared" si="9"/>
        <v>0</v>
      </c>
      <c r="EJ19" s="97">
        <f t="shared" si="10"/>
        <v>0</v>
      </c>
      <c r="EK19" s="97">
        <f t="shared" si="11"/>
        <v>0</v>
      </c>
      <c r="EL19" s="97">
        <f t="shared" si="12"/>
        <v>0</v>
      </c>
      <c r="EM19" s="29"/>
      <c r="EN19" s="29"/>
      <c r="EO19" s="29"/>
      <c r="EP19" s="29"/>
      <c r="EQ19" s="29"/>
      <c r="ER19" s="339"/>
      <c r="ES19" s="339"/>
      <c r="ET19" s="417" t="str">
        <f t="shared" si="13"/>
        <v xml:space="preserve"> </v>
      </c>
      <c r="EU19" s="339"/>
      <c r="EV19" s="340"/>
      <c r="EW19" s="340"/>
      <c r="EX19" s="34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</row>
    <row r="20" spans="1:168" ht="15.95" customHeight="1" x14ac:dyDescent="0.25">
      <c r="A20" s="44"/>
      <c r="B20" s="45" t="s">
        <v>1</v>
      </c>
      <c r="C20" s="45"/>
      <c r="D20" s="45" t="s">
        <v>2</v>
      </c>
      <c r="E20" s="45"/>
      <c r="F20" s="46" t="s">
        <v>33</v>
      </c>
      <c r="G20" s="45"/>
      <c r="H20" s="45" t="s">
        <v>193</v>
      </c>
      <c r="I20" s="45"/>
      <c r="J20" s="119" t="s">
        <v>73</v>
      </c>
      <c r="K20" s="45"/>
      <c r="L20" s="119" t="s">
        <v>28</v>
      </c>
      <c r="M20" s="37"/>
      <c r="N20" s="29"/>
      <c r="O20" s="568"/>
      <c r="P20" s="568"/>
      <c r="Q20" s="563"/>
      <c r="R20" s="563"/>
      <c r="S20" s="29"/>
      <c r="T20" s="568"/>
      <c r="U20" s="568"/>
      <c r="V20" s="563"/>
      <c r="W20" s="8"/>
      <c r="X20" s="3" t="str">
        <f>IF($AF$7&gt;=AJ16,AJ16," ")</f>
        <v xml:space="preserve"> </v>
      </c>
      <c r="Y20" s="5" t="str">
        <f t="shared" si="22"/>
        <v xml:space="preserve"> </v>
      </c>
      <c r="Z20" s="496"/>
      <c r="AA20" s="496"/>
      <c r="AB20" s="3" t="str">
        <f t="shared" si="23"/>
        <v xml:space="preserve"> </v>
      </c>
      <c r="AC20" s="5" t="str">
        <f t="shared" si="24"/>
        <v xml:space="preserve"> </v>
      </c>
      <c r="AD20" s="4"/>
      <c r="AE20" s="29"/>
      <c r="AF20" s="29"/>
      <c r="AG20" s="29"/>
      <c r="AH20" s="226" t="s">
        <v>175</v>
      </c>
      <c r="AI20" s="29"/>
      <c r="AJ20" s="29">
        <v>14</v>
      </c>
      <c r="AK20" s="29"/>
      <c r="AL20" s="29">
        <v>18</v>
      </c>
      <c r="AM20" s="376" t="str">
        <f t="shared" si="26"/>
        <v xml:space="preserve"> </v>
      </c>
      <c r="AN20" s="29"/>
      <c r="AO20" s="52"/>
      <c r="AP20" s="52"/>
      <c r="AQ20" s="52"/>
      <c r="AR20" s="29"/>
      <c r="AS20" s="29">
        <v>18</v>
      </c>
      <c r="AT20" s="29" t="s">
        <v>1434</v>
      </c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33"/>
      <c r="BH20" s="233"/>
      <c r="BI20" s="409"/>
      <c r="BJ20" s="409"/>
      <c r="BK20" s="409"/>
      <c r="BL20" s="409"/>
      <c r="BM20" s="409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6"/>
      <c r="CA20" s="398" t="s">
        <v>1543</v>
      </c>
      <c r="CB20" s="394" t="s">
        <v>847</v>
      </c>
      <c r="CC20" s="394" t="s">
        <v>1575</v>
      </c>
      <c r="CD20" s="394" t="s">
        <v>1577</v>
      </c>
      <c r="CE20" s="399"/>
      <c r="CF20" s="394" t="s">
        <v>1578</v>
      </c>
      <c r="CG20" s="233"/>
      <c r="CH20" s="233"/>
      <c r="CI20" s="233"/>
      <c r="CJ20" s="233"/>
      <c r="CK20" s="233"/>
      <c r="CL20" s="233"/>
      <c r="CM20" s="233"/>
      <c r="CN20" s="361" t="str">
        <f t="shared" si="2"/>
        <v xml:space="preserve"> </v>
      </c>
      <c r="CO20" s="361" t="str">
        <f t="shared" si="3"/>
        <v xml:space="preserve"> </v>
      </c>
      <c r="CP20" s="361" t="str">
        <f t="shared" si="4"/>
        <v xml:space="preserve"> </v>
      </c>
      <c r="CQ20" s="361" t="str">
        <f t="shared" si="5"/>
        <v xml:space="preserve"> </v>
      </c>
      <c r="CR20" s="361" t="str">
        <f t="shared" si="6"/>
        <v xml:space="preserve"> </v>
      </c>
      <c r="CS20" s="233" t="s">
        <v>922</v>
      </c>
      <c r="CT20" s="233"/>
      <c r="CU20" s="233"/>
      <c r="CV20" s="233" t="s">
        <v>1589</v>
      </c>
      <c r="CW20" s="233"/>
      <c r="CX20" s="233"/>
      <c r="CY20" s="233" t="s">
        <v>950</v>
      </c>
      <c r="CZ20" s="233"/>
      <c r="DA20" s="233" t="s">
        <v>1217</v>
      </c>
      <c r="DB20" s="233"/>
      <c r="DC20" s="233" t="s">
        <v>921</v>
      </c>
      <c r="DD20" s="233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421" t="s">
        <v>1636</v>
      </c>
      <c r="DT20" s="422">
        <v>3585</v>
      </c>
      <c r="DU20" s="420">
        <v>1</v>
      </c>
      <c r="DV20" s="420">
        <v>30</v>
      </c>
      <c r="DW20" s="420">
        <v>3</v>
      </c>
      <c r="DX20" s="420" t="s">
        <v>1154</v>
      </c>
      <c r="DY20" s="420">
        <v>25</v>
      </c>
      <c r="DZ20" s="420" t="s">
        <v>1164</v>
      </c>
      <c r="EA20" s="29"/>
      <c r="EB20" s="413" t="str">
        <f t="shared" si="14"/>
        <v>N7 Armor Light</v>
      </c>
      <c r="EC20" s="409">
        <f t="shared" si="15"/>
        <v>1</v>
      </c>
      <c r="ED20" s="432">
        <f t="shared" si="16"/>
        <v>30</v>
      </c>
      <c r="EE20" s="432">
        <f t="shared" si="17"/>
        <v>3</v>
      </c>
      <c r="EF20" s="432" t="str">
        <f t="shared" si="18"/>
        <v>C; A</v>
      </c>
      <c r="EG20" s="432">
        <f t="shared" si="19"/>
        <v>25</v>
      </c>
      <c r="EH20" s="97">
        <f t="shared" ref="EH20:EH24" si="27">IF($AB$27=EB20,EC20,0)</f>
        <v>0</v>
      </c>
      <c r="EI20" s="97">
        <f t="shared" ref="EI20:EI24" si="28">IF($AB$27=EB20,ED20,0)</f>
        <v>0</v>
      </c>
      <c r="EJ20" s="97">
        <f t="shared" ref="EJ20:EJ24" si="29">IF($AB$27=EB20,EE20,0)</f>
        <v>0</v>
      </c>
      <c r="EK20" s="97">
        <f t="shared" ref="EK20:EK24" si="30">IF($AB$27=EB20,EF20,0)</f>
        <v>0</v>
      </c>
      <c r="EL20" s="97">
        <f t="shared" ref="EL20:EL24" si="31">IF($AB$27=EB20,EG20,0)</f>
        <v>0</v>
      </c>
      <c r="EM20" s="29"/>
      <c r="EN20" s="29"/>
      <c r="EO20" s="29"/>
      <c r="EP20" s="29"/>
      <c r="EQ20" s="29"/>
      <c r="ER20" s="339"/>
      <c r="ES20" s="339"/>
      <c r="ET20" s="417" t="str">
        <f t="shared" si="13"/>
        <v xml:space="preserve"> </v>
      </c>
      <c r="EU20" s="339"/>
      <c r="EV20" s="340"/>
      <c r="EW20" s="340"/>
      <c r="EX20" s="34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</row>
    <row r="21" spans="1:168" ht="15.95" customHeight="1" thickBot="1" x14ac:dyDescent="0.3">
      <c r="A21" s="89" t="s">
        <v>34</v>
      </c>
      <c r="B21" s="83">
        <f>D21+F21+H21+J21+L21</f>
        <v>-5</v>
      </c>
      <c r="C21" s="87" t="s">
        <v>6</v>
      </c>
      <c r="D21" s="96">
        <f>IF(OR($Y$7=$AH$19,$Y$7=$AH$23,$Y$7=$AH$13,$Y$7=$AH$14,$Y$7=$AH$15,$Y$7=$AH$17,$Y$7=$AH$27,$Y$7=$AH$29),ROUNDDOWN($AF$7/2,0)+2,ROUNDDOWN($AF$7/3,0))</f>
        <v>0</v>
      </c>
      <c r="E21" s="87" t="s">
        <v>7</v>
      </c>
      <c r="F21" s="83">
        <f>N10</f>
        <v>-5</v>
      </c>
      <c r="G21" s="87" t="s">
        <v>7</v>
      </c>
      <c r="H21" s="85"/>
      <c r="I21" s="87" t="s">
        <v>7</v>
      </c>
      <c r="J21" s="120">
        <f>2*Feats!E40</f>
        <v>0</v>
      </c>
      <c r="K21" s="87" t="s">
        <v>7</v>
      </c>
      <c r="L21" s="85"/>
      <c r="M21" s="37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340"/>
      <c r="AG21" s="29"/>
      <c r="AH21" s="226" t="s">
        <v>176</v>
      </c>
      <c r="AI21" s="29"/>
      <c r="AJ21" s="29">
        <v>15</v>
      </c>
      <c r="AK21" s="29"/>
      <c r="AL21" s="29">
        <v>19</v>
      </c>
      <c r="AM21" s="376" t="str">
        <f t="shared" si="26"/>
        <v xml:space="preserve"> </v>
      </c>
      <c r="AN21" s="29"/>
      <c r="AO21" s="52"/>
      <c r="AP21" s="52"/>
      <c r="AQ21" s="52"/>
      <c r="AR21" s="29"/>
      <c r="AS21" s="29">
        <v>19</v>
      </c>
      <c r="AT21" s="29" t="s">
        <v>1434</v>
      </c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33"/>
      <c r="BH21" s="233"/>
      <c r="BI21" s="409"/>
      <c r="BJ21" s="409"/>
      <c r="BK21" s="409"/>
      <c r="BL21" s="409"/>
      <c r="BM21" s="409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6"/>
      <c r="CA21" s="401"/>
      <c r="CB21" s="401"/>
      <c r="CC21" s="401"/>
      <c r="CD21" s="401"/>
      <c r="CE21" s="401"/>
      <c r="CF21" s="401"/>
      <c r="CG21" s="233"/>
      <c r="CH21" s="233"/>
      <c r="CI21" s="233"/>
      <c r="CJ21" s="233"/>
      <c r="CK21" s="233"/>
      <c r="CL21" s="233"/>
      <c r="CM21" s="233"/>
      <c r="CN21" s="361" t="str">
        <f t="shared" si="2"/>
        <v xml:space="preserve"> </v>
      </c>
      <c r="CO21" s="361" t="str">
        <f t="shared" si="3"/>
        <v xml:space="preserve"> </v>
      </c>
      <c r="CP21" s="361" t="str">
        <f t="shared" si="4"/>
        <v xml:space="preserve"> </v>
      </c>
      <c r="CQ21" s="361" t="str">
        <f t="shared" si="5"/>
        <v xml:space="preserve"> </v>
      </c>
      <c r="CR21" s="361" t="str">
        <f t="shared" si="6"/>
        <v xml:space="preserve"> </v>
      </c>
      <c r="CS21" s="233" t="s">
        <v>1590</v>
      </c>
      <c r="CT21" s="233"/>
      <c r="CU21" s="233"/>
      <c r="CV21" s="233" t="s">
        <v>1216</v>
      </c>
      <c r="CW21" s="233"/>
      <c r="CX21" s="233"/>
      <c r="CY21" s="233" t="s">
        <v>921</v>
      </c>
      <c r="CZ21" s="233"/>
      <c r="DA21" s="233" t="s">
        <v>1218</v>
      </c>
      <c r="DB21" s="233"/>
      <c r="DC21" s="233" t="s">
        <v>922</v>
      </c>
      <c r="DD21" s="233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419" t="s">
        <v>1637</v>
      </c>
      <c r="DT21" s="422">
        <v>3670</v>
      </c>
      <c r="DU21" s="420">
        <v>1</v>
      </c>
      <c r="DV21" s="420">
        <v>25</v>
      </c>
      <c r="DW21" s="420">
        <v>2</v>
      </c>
      <c r="DX21" s="420"/>
      <c r="DY21" s="420">
        <v>25</v>
      </c>
      <c r="DZ21" s="429" t="s">
        <v>1746</v>
      </c>
      <c r="EA21" s="29"/>
      <c r="EB21" s="413" t="str">
        <f t="shared" si="14"/>
        <v>HyperGuardian Light</v>
      </c>
      <c r="EC21" s="409">
        <f t="shared" si="15"/>
        <v>1</v>
      </c>
      <c r="ED21" s="432">
        <f t="shared" si="16"/>
        <v>25</v>
      </c>
      <c r="EE21" s="432">
        <f t="shared" si="17"/>
        <v>2</v>
      </c>
      <c r="EF21" s="432">
        <f t="shared" si="18"/>
        <v>0</v>
      </c>
      <c r="EG21" s="432">
        <f t="shared" si="19"/>
        <v>25</v>
      </c>
      <c r="EH21" s="97">
        <f t="shared" si="27"/>
        <v>0</v>
      </c>
      <c r="EI21" s="97">
        <f t="shared" si="28"/>
        <v>0</v>
      </c>
      <c r="EJ21" s="97">
        <f t="shared" si="29"/>
        <v>0</v>
      </c>
      <c r="EK21" s="97">
        <f t="shared" si="30"/>
        <v>0</v>
      </c>
      <c r="EL21" s="97">
        <f t="shared" si="31"/>
        <v>0</v>
      </c>
      <c r="EM21" s="29"/>
      <c r="EN21" s="29"/>
      <c r="EO21" s="29"/>
      <c r="EP21" s="29"/>
      <c r="EQ21" s="29"/>
      <c r="ER21" s="339"/>
      <c r="ES21" s="339"/>
      <c r="ET21" s="417" t="str">
        <f t="shared" si="13"/>
        <v xml:space="preserve"> </v>
      </c>
      <c r="EU21" s="339"/>
      <c r="EV21" s="340"/>
      <c r="EW21" s="340"/>
      <c r="EX21" s="34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</row>
    <row r="22" spans="1:168" ht="15.95" customHeight="1" thickBot="1" x14ac:dyDescent="0.3">
      <c r="A22" s="565" t="s">
        <v>29</v>
      </c>
      <c r="B22" s="565"/>
      <c r="C22" s="86"/>
      <c r="D22" s="86"/>
      <c r="E22" s="86"/>
      <c r="F22" s="86"/>
      <c r="G22" s="86"/>
      <c r="H22" s="86"/>
      <c r="I22" s="86"/>
      <c r="J22" s="86"/>
      <c r="K22" s="86"/>
      <c r="L22" s="88"/>
      <c r="M22" s="32"/>
      <c r="N22" s="29"/>
      <c r="O22" s="583" t="s">
        <v>983</v>
      </c>
      <c r="P22" s="584"/>
      <c r="Q22" s="29"/>
      <c r="R22" s="583" t="s">
        <v>198</v>
      </c>
      <c r="S22" s="587"/>
      <c r="T22" s="584"/>
      <c r="U22" s="29"/>
      <c r="V22" s="576" t="s">
        <v>199</v>
      </c>
      <c r="W22" s="29"/>
      <c r="X22" s="501" t="s">
        <v>195</v>
      </c>
      <c r="Y22" s="501"/>
      <c r="Z22" s="509">
        <f>IF(OR(B1="Krogan",B1="Elcor"),ROUNDDOWN(AF7/2,0)+IF(Feats!H11=1,General!AF7,0)+B10,0)</f>
        <v>0</v>
      </c>
      <c r="AA22" s="470"/>
      <c r="AB22" s="33"/>
      <c r="AC22" s="494" t="s">
        <v>381</v>
      </c>
      <c r="AD22" s="495"/>
      <c r="AE22" s="103"/>
      <c r="AF22" s="340"/>
      <c r="AG22" s="29"/>
      <c r="AH22" s="226" t="s">
        <v>177</v>
      </c>
      <c r="AI22" s="29"/>
      <c r="AJ22" s="29">
        <v>16</v>
      </c>
      <c r="AK22" s="29"/>
      <c r="AL22" s="29">
        <v>20</v>
      </c>
      <c r="AM22" s="376" t="str">
        <f t="shared" si="26"/>
        <v xml:space="preserve"> </v>
      </c>
      <c r="AN22" s="29"/>
      <c r="AO22" s="52"/>
      <c r="AP22" s="52"/>
      <c r="AQ22" s="52"/>
      <c r="AR22" s="29"/>
      <c r="AS22" s="29">
        <v>20</v>
      </c>
      <c r="AT22" s="29" t="s">
        <v>1434</v>
      </c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33"/>
      <c r="BH22" s="233"/>
      <c r="BI22" s="481" t="s">
        <v>874</v>
      </c>
      <c r="BJ22" s="481"/>
      <c r="BK22" s="481"/>
      <c r="BL22" s="481"/>
      <c r="BM22" s="481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6"/>
      <c r="CA22" s="636" t="s">
        <v>874</v>
      </c>
      <c r="CB22" s="637"/>
      <c r="CC22" s="637"/>
      <c r="CD22" s="637"/>
      <c r="CE22" s="637"/>
      <c r="CF22" s="638"/>
      <c r="CG22" s="233"/>
      <c r="CH22" s="233"/>
      <c r="CI22" s="233"/>
      <c r="CJ22" s="233"/>
      <c r="CK22" s="233"/>
      <c r="CL22" s="233"/>
      <c r="CM22" s="233"/>
      <c r="CN22" s="361" t="str">
        <f t="shared" si="2"/>
        <v xml:space="preserve"> </v>
      </c>
      <c r="CO22" s="361" t="str">
        <f t="shared" si="3"/>
        <v xml:space="preserve"> </v>
      </c>
      <c r="CP22" s="361" t="str">
        <f t="shared" si="4"/>
        <v xml:space="preserve"> </v>
      </c>
      <c r="CQ22" s="361" t="str">
        <f t="shared" si="5"/>
        <v xml:space="preserve"> </v>
      </c>
      <c r="CR22" s="361" t="str">
        <f t="shared" si="6"/>
        <v xml:space="preserve"> </v>
      </c>
      <c r="CS22" s="233" t="s">
        <v>1011</v>
      </c>
      <c r="CT22" s="233"/>
      <c r="CU22" s="233"/>
      <c r="CV22" s="233" t="s">
        <v>1217</v>
      </c>
      <c r="CW22" s="233"/>
      <c r="CX22" s="233"/>
      <c r="CY22" s="233" t="s">
        <v>922</v>
      </c>
      <c r="CZ22" s="233"/>
      <c r="DA22" s="233" t="s">
        <v>963</v>
      </c>
      <c r="DB22" s="233"/>
      <c r="DC22" s="233" t="s">
        <v>951</v>
      </c>
      <c r="DD22" s="233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421" t="s">
        <v>1638</v>
      </c>
      <c r="DT22" s="422">
        <v>5100</v>
      </c>
      <c r="DU22" s="420">
        <v>1</v>
      </c>
      <c r="DV22" s="420">
        <v>45</v>
      </c>
      <c r="DW22" s="420">
        <v>3</v>
      </c>
      <c r="DX22" s="420"/>
      <c r="DY22" s="420">
        <v>30</v>
      </c>
      <c r="DZ22" s="420"/>
      <c r="EA22" s="29">
        <v>15</v>
      </c>
      <c r="EB22" s="413" t="str">
        <f t="shared" si="14"/>
        <v>Colossus Light</v>
      </c>
      <c r="EC22" s="409">
        <f t="shared" si="15"/>
        <v>1</v>
      </c>
      <c r="ED22" s="432">
        <f t="shared" si="16"/>
        <v>45</v>
      </c>
      <c r="EE22" s="432">
        <f t="shared" si="17"/>
        <v>3</v>
      </c>
      <c r="EF22" s="432">
        <f t="shared" si="18"/>
        <v>0</v>
      </c>
      <c r="EG22" s="432">
        <f t="shared" si="19"/>
        <v>30</v>
      </c>
      <c r="EH22" s="97">
        <f t="shared" si="27"/>
        <v>0</v>
      </c>
      <c r="EI22" s="97">
        <f t="shared" si="28"/>
        <v>0</v>
      </c>
      <c r="EJ22" s="97">
        <f t="shared" si="29"/>
        <v>0</v>
      </c>
      <c r="EK22" s="97">
        <f t="shared" si="30"/>
        <v>0</v>
      </c>
      <c r="EL22" s="97">
        <f t="shared" si="31"/>
        <v>0</v>
      </c>
      <c r="EM22" s="29"/>
      <c r="EN22" s="29"/>
      <c r="EO22" s="29"/>
      <c r="EP22" s="29"/>
      <c r="EQ22" s="29"/>
      <c r="ER22" s="339"/>
      <c r="ES22" s="339"/>
      <c r="ET22" s="417" t="str">
        <f t="shared" si="13"/>
        <v xml:space="preserve"> </v>
      </c>
      <c r="EU22" s="339"/>
      <c r="EV22" s="340"/>
      <c r="EW22" s="340"/>
      <c r="EX22" s="34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</row>
    <row r="23" spans="1:168" ht="15.95" customHeight="1" thickBot="1" x14ac:dyDescent="0.3">
      <c r="A23" s="90" t="s">
        <v>35</v>
      </c>
      <c r="B23" s="83">
        <f>D23+F23+H23+J23+L23</f>
        <v>-5</v>
      </c>
      <c r="C23" s="87" t="s">
        <v>6</v>
      </c>
      <c r="D23" s="96">
        <f>IF(OR($Y$7=$AH$11,$Y$7=$AH$18,$Y$7=$AH$24,$Y$7=$AH$25,$Y$7=$AH$14,$Y$7=$AH$17,$Y$7=$AH$26,$Y$7=$AH$27),ROUNDDOWN($AF$7/2,0)+2,ROUNDDOWN($AF$7/3,0))</f>
        <v>0</v>
      </c>
      <c r="E23" s="87" t="s">
        <v>7</v>
      </c>
      <c r="F23" s="83">
        <f>N8</f>
        <v>-5</v>
      </c>
      <c r="G23" s="87" t="s">
        <v>7</v>
      </c>
      <c r="H23" s="85"/>
      <c r="I23" s="87" t="s">
        <v>7</v>
      </c>
      <c r="J23" s="120">
        <f>1*Feats!B14+2*Feats!H19</f>
        <v>0</v>
      </c>
      <c r="K23" s="87" t="s">
        <v>7</v>
      </c>
      <c r="L23" s="85"/>
      <c r="M23" s="32"/>
      <c r="N23" s="29"/>
      <c r="O23" s="585"/>
      <c r="P23" s="586"/>
      <c r="Q23" s="29"/>
      <c r="R23" s="585"/>
      <c r="S23" s="588"/>
      <c r="T23" s="586"/>
      <c r="U23" s="29"/>
      <c r="V23" s="576"/>
      <c r="W23" s="29"/>
      <c r="X23" s="501" t="s">
        <v>196</v>
      </c>
      <c r="Y23" s="501"/>
      <c r="Z23" s="509">
        <f>Z22+Z24+IF(Feats!H11="yes",1*General!AF7,0)+IF(OR(AE29=DX97,AE30=DX97,AE31=DX97),AF7,0)+IF(AB27=DS21,10+ROUNDDOWN(AF7/2,0))+IF(AB27=DS45,10+AF7)+IF(AB27=DS74,15+AF7)</f>
        <v>0</v>
      </c>
      <c r="AA23" s="470"/>
      <c r="AB23" s="33"/>
      <c r="AC23" s="494" t="s">
        <v>204</v>
      </c>
      <c r="AD23" s="495"/>
      <c r="AE23" s="103"/>
      <c r="AF23" s="340"/>
      <c r="AG23" s="29"/>
      <c r="AH23" s="226" t="s">
        <v>178</v>
      </c>
      <c r="AI23" s="29"/>
      <c r="AJ23" s="29">
        <v>17</v>
      </c>
      <c r="AK23" s="29"/>
      <c r="AL23" s="29">
        <v>21</v>
      </c>
      <c r="AM23" s="376" t="str">
        <f t="shared" si="26"/>
        <v xml:space="preserve"> </v>
      </c>
      <c r="AN23" s="29"/>
      <c r="AO23" s="52"/>
      <c r="AP23" s="52"/>
      <c r="AQ23" s="52"/>
      <c r="AR23" s="29"/>
      <c r="AS23" s="29">
        <v>21</v>
      </c>
      <c r="AT23" s="29" t="s">
        <v>1434</v>
      </c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33"/>
      <c r="BH23" s="233"/>
      <c r="BI23" s="410" t="s">
        <v>1564</v>
      </c>
      <c r="BJ23" s="411" t="s">
        <v>876</v>
      </c>
      <c r="BK23" s="411" t="s">
        <v>877</v>
      </c>
      <c r="BL23" s="411" t="s">
        <v>878</v>
      </c>
      <c r="BM23" s="411" t="s">
        <v>879</v>
      </c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6"/>
      <c r="CA23" s="397"/>
      <c r="CB23" s="405" t="s">
        <v>875</v>
      </c>
      <c r="CC23" s="405" t="s">
        <v>876</v>
      </c>
      <c r="CD23" s="405" t="s">
        <v>877</v>
      </c>
      <c r="CE23" s="405" t="s">
        <v>878</v>
      </c>
      <c r="CF23" s="405" t="s">
        <v>879</v>
      </c>
      <c r="CG23" s="233"/>
      <c r="CH23" s="233"/>
      <c r="CI23" s="233"/>
      <c r="CJ23" s="233"/>
      <c r="CK23" s="233"/>
      <c r="CL23" s="233"/>
      <c r="CM23" s="233"/>
      <c r="CN23" s="361" t="str">
        <f t="shared" si="2"/>
        <v xml:space="preserve"> </v>
      </c>
      <c r="CO23" s="361" t="str">
        <f t="shared" si="3"/>
        <v xml:space="preserve"> </v>
      </c>
      <c r="CP23" s="361" t="str">
        <f t="shared" si="4"/>
        <v xml:space="preserve"> </v>
      </c>
      <c r="CQ23" s="361" t="str">
        <f t="shared" si="5"/>
        <v xml:space="preserve"> </v>
      </c>
      <c r="CR23" s="361" t="str">
        <f t="shared" si="6"/>
        <v xml:space="preserve"> </v>
      </c>
      <c r="CS23" s="233" t="s">
        <v>1215</v>
      </c>
      <c r="CT23" s="233"/>
      <c r="CU23" s="233"/>
      <c r="CV23" s="233" t="s">
        <v>1218</v>
      </c>
      <c r="CW23" s="233"/>
      <c r="CX23" s="233"/>
      <c r="CY23" s="233" t="s">
        <v>951</v>
      </c>
      <c r="CZ23" s="233"/>
      <c r="DA23" s="233" t="s">
        <v>964</v>
      </c>
      <c r="DB23" s="233"/>
      <c r="DC23" s="233" t="s">
        <v>1216</v>
      </c>
      <c r="DD23" s="233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419" t="s">
        <v>1639</v>
      </c>
      <c r="DT23" s="422">
        <v>6255</v>
      </c>
      <c r="DU23" s="420">
        <v>1</v>
      </c>
      <c r="DV23" s="420">
        <v>30</v>
      </c>
      <c r="DW23" s="420">
        <v>3</v>
      </c>
      <c r="DX23" s="420" t="s">
        <v>1600</v>
      </c>
      <c r="DY23" s="420">
        <v>26</v>
      </c>
      <c r="DZ23" s="420" t="s">
        <v>1621</v>
      </c>
      <c r="EA23" s="29">
        <v>16</v>
      </c>
      <c r="EB23" s="413" t="str">
        <f t="shared" si="14"/>
        <v>Pathfinder Light</v>
      </c>
      <c r="EC23" s="409">
        <f t="shared" si="15"/>
        <v>1</v>
      </c>
      <c r="ED23" s="432">
        <f t="shared" si="16"/>
        <v>30</v>
      </c>
      <c r="EE23" s="432">
        <f t="shared" si="17"/>
        <v>3</v>
      </c>
      <c r="EF23" s="432" t="str">
        <f t="shared" si="18"/>
        <v>A; L</v>
      </c>
      <c r="EG23" s="432">
        <f t="shared" si="19"/>
        <v>26</v>
      </c>
      <c r="EH23" s="97">
        <f t="shared" si="27"/>
        <v>0</v>
      </c>
      <c r="EI23" s="97">
        <f t="shared" si="28"/>
        <v>0</v>
      </c>
      <c r="EJ23" s="97">
        <f t="shared" si="29"/>
        <v>0</v>
      </c>
      <c r="EK23" s="97">
        <f t="shared" si="30"/>
        <v>0</v>
      </c>
      <c r="EL23" s="97">
        <f t="shared" si="31"/>
        <v>0</v>
      </c>
      <c r="EM23" s="29"/>
      <c r="EN23" s="29"/>
      <c r="EO23" s="29"/>
      <c r="EP23" s="29"/>
      <c r="EQ23" s="29"/>
      <c r="ER23" s="339"/>
      <c r="ES23" s="339"/>
      <c r="ET23" s="417" t="str">
        <f t="shared" si="13"/>
        <v xml:space="preserve"> </v>
      </c>
      <c r="EU23" s="339"/>
      <c r="EV23" s="340"/>
      <c r="EW23" s="340"/>
      <c r="EX23" s="34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</row>
    <row r="24" spans="1:168" ht="15.95" customHeight="1" x14ac:dyDescent="0.25">
      <c r="A24" s="82" t="s">
        <v>30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8"/>
      <c r="M24" s="32"/>
      <c r="N24" s="29"/>
      <c r="O24" s="543"/>
      <c r="P24" s="543"/>
      <c r="Q24" s="29"/>
      <c r="R24" s="530"/>
      <c r="S24" s="530"/>
      <c r="T24" s="530"/>
      <c r="U24" s="29"/>
      <c r="V24" s="564" t="str">
        <f>IF(V19-R24&gt;0,V19-R24,"GONE")</f>
        <v>GONE</v>
      </c>
      <c r="W24" s="29"/>
      <c r="X24" s="501" t="s">
        <v>1021</v>
      </c>
      <c r="Y24" s="501"/>
      <c r="Z24" s="510"/>
      <c r="AA24" s="511"/>
      <c r="AC24" s="494" t="s">
        <v>268</v>
      </c>
      <c r="AD24" s="495"/>
      <c r="AE24" s="103"/>
      <c r="AF24" s="340"/>
      <c r="AG24" s="29"/>
      <c r="AH24" s="226" t="s">
        <v>179</v>
      </c>
      <c r="AI24" s="29"/>
      <c r="AJ24" s="29">
        <v>18</v>
      </c>
      <c r="AK24" s="29"/>
      <c r="AL24" s="29">
        <v>22</v>
      </c>
      <c r="AM24" s="376" t="str">
        <f t="shared" si="26"/>
        <v xml:space="preserve"> </v>
      </c>
      <c r="AN24" s="29"/>
      <c r="AO24" s="52"/>
      <c r="AP24" s="52"/>
      <c r="AQ24" s="52"/>
      <c r="AR24" s="29"/>
      <c r="AS24" s="29">
        <v>22</v>
      </c>
      <c r="AT24" s="29" t="s">
        <v>1434</v>
      </c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33"/>
      <c r="BH24" s="233"/>
      <c r="BI24" s="409" t="s">
        <v>1552</v>
      </c>
      <c r="BJ24" s="383">
        <f>IF(AND($C$66=$AH$1,OR($L$66=$BJ$3,$L$66=$BK$3,$L$66=$BL$3,$L$66=$BM$3),$G$66=$CA$7),CC7,IF(AND($C$66=$AH$1,OR($L$66=$BJ$3,$L$66=$BK$3,$L$66=$BL$3,$L$66=$BM$3),$G$66=$CA$9),CC9,IF(AND($C$66=$AH$1,OR($L$66=$BJ$3,$L$66=$BK$3,$L$66=$BL$3,$L$66=$BM$3),$G$66=$CA$10),CC10,IF(AND($C$66=$AH$1,OR($L$66=$BJ$3,$L$66=$BK$3,$L$66=$BL$3,$L$66=$BM$3),$G$66=$CA$11),CC11,IF(AND($C$66=$AH$1,OR($L$66=$BJ$3,$L$66=$BK$3,$L$66=$BL$3,$L$66=$BM$3),$G$66=$CA$12),CC12,IF(AND($C$66=$AH$1,OR($L$66=$BJ$3,$L$66=$BK$3,$L$66=$BL$3,$L$66=$BM$3),$G$66=$CA$13),CC13,IF(AND($C$66=$AH$1,OR($L$66=$BJ$3,$L$66=$BK$3,$L$66=$BL$3,$L$66=$BM$3),$G$66=$CA$14),CC14,IF(AND($C$66=$AH$1,OR($L$66=$BJ$3,$L$66=$BK$3,$L$66=$BL$3,$L$66=$BM$3),$G$66=$CA$15),CC15,IF(AND($C$66=$AH$1,OR($L$66=$BJ$3,$L$66=$BK$3,$L$66=$BL$3,$L$66=$BM$3),$G$66=$CA$16),CC16,IF(AND($C$66=$AH$1,OR($L$66=$BJ$3,$L$66=$BK$3,$L$66=$BL$3,$L$66=$BM$3),$G$66=$CA$17),CC17,IF(AND($C$66=$AH$1,OR($L$66=$BJ$3,$L$66=$BK$3,$L$66=$BL$3,$L$66=$BM$3),$G$66=$CA$18),CC18,IF(AND($C$66=$AH$1,OR($L$66=$BJ$3,$L$66=$BK$3,$L$66=$BL$3,$L$66=$BM$3),$G$66=$CA$19),CC19,IF(AND($C$66=$AH$1,OR($L$66=$BJ$3,$L$66=$BK$3,$L$66=$BL$3,$L$66=$BM$3),$G$66=$CA$20),CC20,0)))))))))))))</f>
        <v>0</v>
      </c>
      <c r="BK24" s="407">
        <f>IF(AND($C$66=$AH$1,OR($L$66=$BK$3,$L$66=$BL$3,$L$66=$BM$3),$G$66=$CA$7),CD7,IF(AND($C$66=$AH$1,OR($L$66=$BK$3,$L$66=$BL$3,$L$66=$BM$3),$G$66=$CA$9),CD9,IF(AND($C$66=$AH$1,OR($L$66=$BK$3,$L$66=$BL$3,$L$66=$BM$3),$G$66=$CA$10),CD10,IF(AND($C$66=$AH$1,OR($L$66=$BK$3,$L$66=$BL$3,$L$66=$BM$3),$G$66=$CA$11),CD11,IF(AND($C$66=$AH$1,OR($L$66=$BK$3,$L$66=$BL$3,$L$66=$BM$3),$G$66=$CA$12),CD12,IF(AND($C$66=$AH$1,OR($L$66=$BK$3,$L$66=$BL$3,$L$66=$BM$3),$G$66=$CA$13),CD13,IF(AND($C$66=$AH$1,OR($L$66=$BK$3,$L$66=$BL$3,$L$66=$BM$3),$G$66=$CA$14),CD14,IF(AND($C$66=$AH$1,OR($L$66=$BK$3,$L$66=$BL$3,$L$66=$BM$3),$G$66=$CA$15),CD15,IF(AND($C$66=$AH$1,OR($L$66=$BK$3,$L$66=$BL$3,$L$66=$BM$3),$G$66=$CA$16),CD16,IF(AND($C$66=$AH$1,OR($L$66=$BK$3,$L$66=$BL$3,$L$66=$BM$3),$G$66=$CA$17),CD17,IF(AND($C$66=$AH$1,OR($L$66=$BK$3,$L$66=$BL$3,$L$66=$BM$3),$G$66=$CA$18),CD18,IF(AND($C$66=$AH$1,OR($L$66=$BK$3,$L$66=$BL$3,$L$66=$BM$3),$G$66=$CA$19),CD19,IF(AND($C$66=$AH$1,OR($L$66=$BK$3,$L$66=$BL$3,$L$66=$BM$3),$G$66=$CA$20),CD20,0)))))))))))))</f>
        <v>0</v>
      </c>
      <c r="BL24" s="407">
        <f>IF(AND($C$66=$AH$1,OR($L$66=$BL$3,$L$66=$BM$3),$G$66=$CA$7),CE7,IF(AND($C$66=$AH$1,OR($L$66=$BL$3,$L$66=$BM$3),$G$66=$CA$9),CE9,IF(AND($C$66=$AH$1,OR($L$66=$BL$3,$L$66=$BM$3),$G$66=$CA$10),CE10,IF(AND($C$66=$AH$1,OR($L$66=$BL$3,$L$66=$BM$3),$G$66=$CA$11),CE11,IF(AND($C$66=$AH$1,OR($L$66=$BL$3,$L$66=$BM$3),$G$66=$CA$12),CE12,IF(AND($C$66=$AH$1,OR($L$66=$BL$3,$L$66=$BM$3),$G$66=$CA$13),CE13,IF(AND($C$66=$AH$1,OR($L$66=$BL$3,$L$66=$BM$3),$G$66=$CA$14),CE14,IF(AND($C$66=$AH$1,OR($L$66=$BL$3,$L$66=$BM$3),$G$66=$CA$15),CE15,IF(AND($C$66=$AH$1,OR($L$66=$BL$3,$L$66=$BM$3),$G$66=$CA$16),CE16,IF(AND($C$66=$AH$1,OR($L$66=$BL$3,$L$66=$BM$3),$G$66=$CA$17),CE17,IF(AND($C$66=$AH$1,OR($L$66=$BL$3,$L$66=$BM$3),$G$66=$CA$18),CE18,IF(AND($C$66=$AH$1,OR($L$66=$BL$3,$L$66=$BM$3),$G$66=$CA$19),CE19,IF(AND($C$66=$AH$1,OR($L$66=$BL$3,$L$66=$BM$3),$G$66=$CA$20),CE20,0)))))))))))))</f>
        <v>0</v>
      </c>
      <c r="BM24" s="407">
        <f>IF(AND($C$66=$AH$1,OR($L$66=$BM$3),$G$66=$CA$7),CF7,IF(AND($C$66=$AH$1,OR($L$66=$BM$3),$G$66=$CA$9),CF9,IF(AND($C$66=$AH$1,OR($L$66=$BM$3),$G$66=$CA$10),CF10,IF(AND($C$66=$AH$1,OR($L$66=$BM$3),$G$66=$CA$11),CF11,IF(AND($C$66=$AH$1,OR($L$66=$BM$3),$G$66=$CA$12),CF12,IF(AND($C$66=$AH$1,OR($L$66=$BM$3),$G$66=$CA$13),CF13,IF(AND($C$66=$AH$1,OR($L$66=$BM$3),$G$66=$CA$14),CF14,IF(AND($C$66=$AH$1,OR($L$66=$BM$3),$G$66=$CA$15),CF15,IF(AND($C$66=$AH$1,OR($L$66=$BM$3),$G$66=$CA$16),CF16,IF(AND($C$66=$AH$1,OR($L$66=$BM$3),$G$66=$CA$17),CF17,IF(AND($C$66=$AH$1,OR($L$66=$BM$3),$G$66=$CA$18),CF18,IF(AND($C$66=$AH$1,OR($L$66=$BM$3),$G$66=$CA$19),CF19,IF(AND($C$66=$AH$1,OR($L$66=$BM$3),$G$66=$CA$20),CF20,0)))))))))))))</f>
        <v>0</v>
      </c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6"/>
      <c r="CA24" s="397" t="s">
        <v>881</v>
      </c>
      <c r="CB24" s="480" t="s">
        <v>880</v>
      </c>
      <c r="CC24" s="480"/>
      <c r="CD24" s="480"/>
      <c r="CE24" s="480"/>
      <c r="CF24" s="480"/>
      <c r="CG24" s="233"/>
      <c r="CH24" s="233"/>
      <c r="CI24" s="233"/>
      <c r="CJ24" s="233"/>
      <c r="CK24" s="233"/>
      <c r="CL24" s="233"/>
      <c r="CM24" s="233"/>
      <c r="CN24" s="361" t="str">
        <f t="shared" si="2"/>
        <v xml:space="preserve"> </v>
      </c>
      <c r="CO24" s="361" t="str">
        <f t="shared" si="3"/>
        <v xml:space="preserve"> </v>
      </c>
      <c r="CP24" s="361" t="str">
        <f t="shared" si="4"/>
        <v xml:space="preserve"> </v>
      </c>
      <c r="CQ24" s="361" t="str">
        <f t="shared" si="5"/>
        <v xml:space="preserve"> </v>
      </c>
      <c r="CR24" s="361" t="str">
        <f t="shared" si="6"/>
        <v xml:space="preserve"> </v>
      </c>
      <c r="CS24" s="339" t="s">
        <v>1442</v>
      </c>
      <c r="CT24" s="233"/>
      <c r="CU24" s="233"/>
      <c r="CV24" s="339" t="s">
        <v>1443</v>
      </c>
      <c r="CW24" s="233"/>
      <c r="CX24" s="233"/>
      <c r="CY24" s="233" t="s">
        <v>1591</v>
      </c>
      <c r="CZ24" s="233"/>
      <c r="DA24" s="233" t="s">
        <v>965</v>
      </c>
      <c r="DB24" s="233"/>
      <c r="DC24" s="233" t="s">
        <v>1217</v>
      </c>
      <c r="DD24" s="233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419" t="s">
        <v>1429</v>
      </c>
      <c r="DT24" s="422">
        <v>8680</v>
      </c>
      <c r="DU24" s="420">
        <v>0</v>
      </c>
      <c r="DV24" s="420">
        <v>60</v>
      </c>
      <c r="DW24" s="420">
        <v>3</v>
      </c>
      <c r="DX24" s="420"/>
      <c r="DY24" s="420">
        <v>28</v>
      </c>
      <c r="DZ24" s="420" t="s">
        <v>1432</v>
      </c>
      <c r="EA24" s="29">
        <v>17</v>
      </c>
      <c r="EB24" s="413" t="str">
        <f t="shared" si="14"/>
        <v>Spirit</v>
      </c>
      <c r="EC24" s="409">
        <f t="shared" si="15"/>
        <v>0</v>
      </c>
      <c r="ED24" s="432">
        <f t="shared" si="16"/>
        <v>60</v>
      </c>
      <c r="EE24" s="432">
        <f t="shared" si="17"/>
        <v>3</v>
      </c>
      <c r="EF24" s="432">
        <f t="shared" si="18"/>
        <v>0</v>
      </c>
      <c r="EG24" s="432">
        <f t="shared" si="19"/>
        <v>28</v>
      </c>
      <c r="EH24" s="97">
        <f t="shared" si="27"/>
        <v>0</v>
      </c>
      <c r="EI24" s="97">
        <f t="shared" si="28"/>
        <v>0</v>
      </c>
      <c r="EJ24" s="97">
        <f t="shared" si="29"/>
        <v>0</v>
      </c>
      <c r="EK24" s="97">
        <f t="shared" si="30"/>
        <v>0</v>
      </c>
      <c r="EL24" s="97">
        <f t="shared" si="31"/>
        <v>0</v>
      </c>
      <c r="EM24" s="29"/>
      <c r="EN24" s="29"/>
      <c r="EO24" s="29"/>
      <c r="EP24" s="29"/>
      <c r="EQ24" s="29"/>
      <c r="ER24" s="339"/>
      <c r="ES24" s="339"/>
      <c r="ET24" s="417" t="str">
        <f t="shared" si="13"/>
        <v xml:space="preserve"> </v>
      </c>
      <c r="EU24" s="339"/>
      <c r="EV24" s="340"/>
      <c r="EW24" s="340"/>
      <c r="EX24" s="34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</row>
    <row r="25" spans="1:168" ht="15.95" customHeight="1" x14ac:dyDescent="0.25">
      <c r="A25" s="90" t="s">
        <v>31</v>
      </c>
      <c r="B25" s="83">
        <f>D25+F25+H25+J25+L25</f>
        <v>-5</v>
      </c>
      <c r="C25" s="87" t="s">
        <v>6</v>
      </c>
      <c r="D25" s="96">
        <f>IF(OR($Y$7=$AH$9,$Y$7=$AH$10,$Y$7=$AH$12,$Y$7=$AH$16,$Y$7=$AH$20,$Y$7=$AH$21,$Y$7=$AH$22,$Y$7=$AH$14),ROUNDDOWN($AF$7/2,0)+2,ROUNDDOWN($AF$7/3,0))</f>
        <v>0</v>
      </c>
      <c r="E25" s="87" t="s">
        <v>7</v>
      </c>
      <c r="F25" s="83">
        <f>IF(Feats!E36=1,General!N16,General!N14)</f>
        <v>-5</v>
      </c>
      <c r="G25" s="87" t="s">
        <v>7</v>
      </c>
      <c r="H25" s="85"/>
      <c r="I25" s="87" t="s">
        <v>7</v>
      </c>
      <c r="J25" s="120">
        <f>2*Feats!H16</f>
        <v>0</v>
      </c>
      <c r="K25" s="87" t="s">
        <v>7</v>
      </c>
      <c r="L25" s="85"/>
      <c r="M25" s="32"/>
      <c r="N25" s="29"/>
      <c r="O25" s="543"/>
      <c r="P25" s="543"/>
      <c r="Q25" s="29"/>
      <c r="R25" s="530"/>
      <c r="S25" s="530"/>
      <c r="T25" s="530"/>
      <c r="U25" s="29"/>
      <c r="V25" s="564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26" t="s">
        <v>180</v>
      </c>
      <c r="AI25" s="29" t="s">
        <v>1213</v>
      </c>
      <c r="AJ25" s="29">
        <v>19</v>
      </c>
      <c r="AK25" s="29"/>
      <c r="AL25" s="29">
        <v>23</v>
      </c>
      <c r="AM25" s="376" t="str">
        <f t="shared" si="26"/>
        <v xml:space="preserve"> </v>
      </c>
      <c r="AN25" s="29"/>
      <c r="AO25" s="52"/>
      <c r="AP25" s="52"/>
      <c r="AQ25" s="52"/>
      <c r="AR25" s="29"/>
      <c r="AS25" s="29">
        <v>23</v>
      </c>
      <c r="AT25" s="29" t="s">
        <v>1434</v>
      </c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409" t="s">
        <v>1537</v>
      </c>
      <c r="BJ25" s="407">
        <f>IF(AND($C$66=$AH$2,OR($L$66=$BJ$3,$L$66=$BK$3,$L$66=$BL$3,$L$66=$BM$3),$G$66=$CA$25),CC25,IF(AND($C$66=$AH$2,OR($L$66=$BJ$3,$L$66=$BK$3,$L$66=$BL$3,$L$66=$BM$3),$G$66=$CA$26),CC26,IF(AND($C$66=$AH$2,OR($L$66=$BJ$3,$L$66=$BK$3,$L$66=$BL$3,$L$66=$BM$3),$G$66=$CA$27),CC27,IF(AND($C$66=$AH$2,OR($L$66=$BJ$3,$L$66=$BK$3,$L$66=$BL$3,$L$66=$BM$3),$G$66=$CA$28),CC28,IF(AND($C$66=$AH$2,OR($L$66=$BJ$3,$L$66=$BK$3,$L$66=$BL$3,$L$66=$BM$3),$G$66=$CA$29),CC29,IF(AND($C$66=$AH$2,OR($L$66=$BJ$3,$L$66=$BK$3,$L$66=$BL$3,$L$66=$BM$3),$G$66=$CA$30),CC30,IF(AND($C$66=$AH$2,OR($L$66=$BJ$3,$L$66=$BK$3,$L$66=$BL$3,$L$66=$BM$3),$G$66=$CA$31),CC31,IF(AND($C$66=$AH$2,OR($L$66=$BJ$3,$L$66=$BK$3,$L$66=$BL$3,$L$66=$BM$3),$G$66=$CA$32),CC32,IF(AND($C$66=$AH$2,OR($L$66=$BJ$3,$L$66=$BK$3,$L$66=$BL$3,$L$66=$BM$3),$G$66=$CA$33),CC33,0)))))))))</f>
        <v>0</v>
      </c>
      <c r="BK25" s="407">
        <f>IF(AND($C$66=$AH$2,OR($L$66=$BK$3,$L$66=$BL$3,$L$66=$BM$3),$G$66=$CA$25),CD25,IF(AND($C$66=$AH$2,OR($L$66=$BK$3,$L$66=$BL$3,$L$66=$BM$3),$G$66=$CA$26),CD26,IF(AND($C$66=$AH$2,OR($L$66=$BK$3,$L$66=$BL$3,$L$66=$BM$3),$G$66=$CA$27),CD27,IF(AND($C$66=$AH$2,OR($L$66=$BK$3,$L$66=$BL$3,$L$66=$BM$3),$G$66=$CA$28),CD28,IF(AND($C$66=$AH$2,OR($L$66=$BK$3,$L$66=$BL$3,$L$66=$BM$3),$G$66=$CA$29),CD29,IF(AND($C$66=$AH$2,OR($L$66=$BK$3,$L$66=$BL$3,$L$66=$BM$3),$G$66=$CA$30),CD30,IF(AND($C$66=$AH$2,OR($L$66=$BK$3,$L$66=$BL$3,$L$66=$BM$3),$G$66=$CA$31),CD31,IF(AND($C$66=$AH$2,OR($L$66=$BK$3,$L$66=$BL$3,$L$66=$BM$3),$G$66=$CA$32),CD32,IF(AND($C$66=$AH$2,OR($L$66=$BK$3,$L$66=$BL$3,$L$66=$BM$3),$G$66=$CA$33),CD33,0)))))))))</f>
        <v>0</v>
      </c>
      <c r="BL25" s="407">
        <f>IF(AND($C$66=$AH$2,OR($L$66=$BL$3,$L$66=$BM$3),$G$66=$CA$25),CE25,IF(AND($C$66=$AH$2,OR($L$66=$BL$3,$L$66=$BM$3),$G$66=$CA$26),CE26,IF(AND($C$66=$AH$2,OR($L$66=$BL$3,$L$66=$BM$3),$G$66=$CA$27),CE27,IF(AND($C$66=$AH$2,OR($L$66=$BL$3,$L$66=$BM$3),$G$66=$CA$28),CE28,IF(AND($C$66=$AH$2,OR($L$66=$BL$3,$L$66=$BM$3),$G$66=$CA$29),CE29,IF(AND($C$66=$AH$2,OR($L$66=$BL$3,$L$66=$BM$3),$G$66=$CA$30),CE30,IF(AND($C$66=$AH$2,OR($L$66=$BL$3,$L$66=$BM$3),$G$66=$CA$31),CE31,IF(AND($C$66=$AH$2,OR($L$66=$BL$3,$L$66=$BM$3),$G$66=$CA$32),CE32,IF(AND($C$66=$AH$2,OR($L$66=$BL$3,$L$66=$BM$3),$G$66=$CA$33),CE33,0)))))))))</f>
        <v>0</v>
      </c>
      <c r="BM25" s="407">
        <f>IF(AND($C$66=$AH$2,OR($L$66=$BM$3),$G$66=$CA$25),CF25,IF(AND($C$66=$AH$2,OR($L$66=$BM$3),$G$66=$CA$26),CF26,IF(AND($C$66=$AH$2,OR($L$66=$BM$3),$G$66=$CA$27),CF27,IF(AND($C$66=$AH$2,OR($L$66=$BM$3),$G$66=$CA$28),CF28,IF(AND($C$66=$AH$2,OR($L$66=$BM$3),$G$66=$CA$29),CF29,IF(AND($C$66=$AH$2,OR($L$66=$BM$3),$G$66=$CA$30),CF30,IF(AND($C$66=$AH$2,OR($L$66=$BM$3),$G$66=$CA$31),CF31,IF(AND($C$66=$AH$2,OR($L$66=$BM$3),$G$66=$CA$32),CF32,IF(AND($C$66=$AH$2,OR($L$66=$BM$3),$G$66=$CA$33),CF33,0)))))))))</f>
        <v>0</v>
      </c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6"/>
      <c r="CA25" s="395" t="s">
        <v>1010</v>
      </c>
      <c r="CB25" s="394" t="s">
        <v>847</v>
      </c>
      <c r="CC25" s="395" t="s">
        <v>1573</v>
      </c>
      <c r="CD25" s="394"/>
      <c r="CE25" s="394" t="s">
        <v>1574</v>
      </c>
      <c r="CF25" s="394" t="s">
        <v>1575</v>
      </c>
      <c r="CG25" s="233"/>
      <c r="CH25" s="233"/>
      <c r="CI25" s="233"/>
      <c r="CJ25" s="233"/>
      <c r="CK25" s="233"/>
      <c r="CL25" s="233"/>
      <c r="CM25" s="233"/>
      <c r="CN25" s="361" t="str">
        <f t="shared" si="2"/>
        <v xml:space="preserve"> </v>
      </c>
      <c r="CO25" s="361" t="str">
        <f t="shared" si="3"/>
        <v xml:space="preserve"> </v>
      </c>
      <c r="CP25" s="361" t="str">
        <f t="shared" si="4"/>
        <v xml:space="preserve"> </v>
      </c>
      <c r="CQ25" s="361" t="str">
        <f t="shared" si="5"/>
        <v xml:space="preserve"> </v>
      </c>
      <c r="CR25" s="361" t="str">
        <f t="shared" si="6"/>
        <v xml:space="preserve"> </v>
      </c>
      <c r="CS25" s="233" t="s">
        <v>923</v>
      </c>
      <c r="CT25" s="233"/>
      <c r="CU25" s="233"/>
      <c r="CV25" s="233" t="s">
        <v>923</v>
      </c>
      <c r="CW25" s="233"/>
      <c r="CX25" s="233"/>
      <c r="CY25" s="233" t="s">
        <v>1216</v>
      </c>
      <c r="CZ25" s="233"/>
      <c r="DA25" s="233" t="s">
        <v>966</v>
      </c>
      <c r="DB25" s="233"/>
      <c r="DC25" s="233" t="s">
        <v>1218</v>
      </c>
      <c r="DD25" s="233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428"/>
      <c r="DT25" s="428"/>
      <c r="DU25" s="428"/>
      <c r="DV25" s="428"/>
      <c r="DW25" s="428"/>
      <c r="DX25" s="428"/>
      <c r="DY25" s="428"/>
      <c r="DZ25" s="428"/>
      <c r="EA25" s="29">
        <v>18</v>
      </c>
      <c r="EB25" s="413" t="s">
        <v>1430</v>
      </c>
      <c r="EC25" s="409">
        <f>IF(Equipment!$K$32="Light",Equipment!$N$32,0)</f>
        <v>0</v>
      </c>
      <c r="ED25" s="432">
        <f>IF(Equipment!$K$32="Light",Equipment!$L$33,0)</f>
        <v>0</v>
      </c>
      <c r="EE25" s="432">
        <f>IF(Equipment!$K$32="Light",Equipment!$P$32,0)</f>
        <v>0</v>
      </c>
      <c r="EF25" s="432">
        <f>IF(Equipment!$K$32="Light",Equipment!$O$33,0)</f>
        <v>0</v>
      </c>
      <c r="EG25" s="432">
        <f>IF(Equipment!$K$32="Light",Equipment!$L$34,0)</f>
        <v>0</v>
      </c>
      <c r="EH25" s="97">
        <f>IF($AB$27=EB25,EC25,0)</f>
        <v>0</v>
      </c>
      <c r="EI25" s="97">
        <f>IF($AB$27=EB25,ED25,0)</f>
        <v>0</v>
      </c>
      <c r="EJ25" s="97">
        <f>IF($AB$27=EB25,EE25,0)</f>
        <v>0</v>
      </c>
      <c r="EK25" s="97">
        <f>IF($AB$27=EB25,EF25,0)</f>
        <v>0</v>
      </c>
      <c r="EL25" s="97">
        <f>IF($AB$27=EB25,EG25,0)</f>
        <v>0</v>
      </c>
      <c r="EM25" s="29"/>
      <c r="EN25" s="29"/>
      <c r="EO25" s="29"/>
      <c r="EP25" s="29"/>
      <c r="EQ25" s="29"/>
      <c r="ER25" s="339"/>
      <c r="ES25" s="339"/>
      <c r="ET25" s="417" t="str">
        <f t="shared" si="13"/>
        <v xml:space="preserve"> </v>
      </c>
      <c r="EU25" s="339"/>
      <c r="EV25" s="340"/>
      <c r="EW25" s="340"/>
      <c r="EX25" s="34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</row>
    <row r="26" spans="1:168" ht="15.95" customHeight="1" x14ac:dyDescent="0.25">
      <c r="A26" s="82" t="s">
        <v>32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8"/>
      <c r="M26" s="32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497" t="s">
        <v>36</v>
      </c>
      <c r="Y26" s="497"/>
      <c r="Z26" s="497"/>
      <c r="AA26" s="497"/>
      <c r="AB26" s="497"/>
      <c r="AC26" s="497"/>
      <c r="AD26" s="497"/>
      <c r="AE26" s="497"/>
      <c r="AF26" s="497"/>
      <c r="AG26" s="29"/>
      <c r="AH26" s="8" t="s">
        <v>1467</v>
      </c>
      <c r="AI26" s="29" t="s">
        <v>1214</v>
      </c>
      <c r="AJ26" s="29">
        <v>20</v>
      </c>
      <c r="AK26" s="29"/>
      <c r="AL26" s="29"/>
      <c r="AM26" s="29"/>
      <c r="AN26" s="29"/>
      <c r="AO26" s="52"/>
      <c r="AP26" s="52"/>
      <c r="AQ26" s="52"/>
      <c r="AR26" s="29"/>
      <c r="AS26" s="29" t="s">
        <v>1562</v>
      </c>
      <c r="AT26" s="371" t="str">
        <f>IF($C$42=$AH$1,$G$42," ")</f>
        <v xml:space="preserve"> </v>
      </c>
      <c r="AU26" s="371">
        <f t="shared" ref="AU26:BF26" si="32">IF($AT$26=$AT$3,AU3,IF($AT$26=$AT$4,AU4,IF($AT$26=$AT$5,AU5,IF($AT$26=$AT$6,AU6,IF($AT$26=$AT$7,AU7,IF($AT$26=$AT$8,AU8,IF($AT$26=$AT$9,AU9,IF($AT$26=$AT$10,AU10,IF($AT$26=$AT$11,AU11,IF($AT$26=$AT$12,AU12,IF($AT$26=$AT$14,AU14,IF($AT$26=$AT$15,AU15,IF($AT$26=$AT$16,AU16,0)))))))))))))</f>
        <v>0</v>
      </c>
      <c r="AV26" s="371">
        <f t="shared" si="32"/>
        <v>0</v>
      </c>
      <c r="AW26" s="371">
        <f t="shared" si="32"/>
        <v>0</v>
      </c>
      <c r="AX26" s="371">
        <f t="shared" si="32"/>
        <v>0</v>
      </c>
      <c r="AY26" s="371">
        <f t="shared" si="32"/>
        <v>0</v>
      </c>
      <c r="AZ26" s="371">
        <f t="shared" si="32"/>
        <v>0</v>
      </c>
      <c r="BA26" s="371">
        <f t="shared" si="32"/>
        <v>0</v>
      </c>
      <c r="BB26" s="371">
        <f t="shared" si="32"/>
        <v>0</v>
      </c>
      <c r="BC26" s="371">
        <f t="shared" si="32"/>
        <v>0</v>
      </c>
      <c r="BD26" s="371">
        <f t="shared" si="32"/>
        <v>0</v>
      </c>
      <c r="BE26" s="371">
        <f t="shared" si="32"/>
        <v>0</v>
      </c>
      <c r="BF26" s="371">
        <f t="shared" si="32"/>
        <v>0</v>
      </c>
      <c r="BG26" s="29"/>
      <c r="BH26" s="29"/>
      <c r="BI26" s="409" t="s">
        <v>1534</v>
      </c>
      <c r="BJ26" s="407">
        <f>IF(AND($C$66=$AH$3,OR($L$66=$BJ$3,$L$66=$BK$3,$L$66=$BL$3,$L$66=$BM$3),$G$66=$CA$41),CC41,IF(AND($C$66=$AH$3,OR($L$66=$BJ$3,$L$66=$BK$3,$L$66=$BL$3,$L$66=$BM$3),$G$66=$CA$42),CC42,IF(AND($C$66=$AH$3,OR($L$66=$BJ$3,$L$66=$BK$3,$L$66=$BL$3,$L$66=$BM$3),$G$66=$CA$43),CC43,IF(AND($C$66=$AH$3,OR($L$66=$BJ$3,$L$66=$BK$3,$L$66=$BL$3,$L$66=$BM$3),$G$66=$CA$44),CC44,IF(AND($C$66=$AH$3,OR($L$66=$BJ$3,$L$66=$BK$3,$L$66=$BL$3,$L$66=$BM$3),$G$66=$CA$45),CC45,IF(AND($C$66=$AH$3,OR($L$66=$BJ$3,$L$66=$BK$3,$L$66=$BL$3,$L$66=$BM$3),$G$66=$CA$46),CC46,IF(AND($C$66=$AH$3,OR($L$66=$BJ$3,$L$66=$BK$3,$L$66=$BL$3,$L$66=$BM$3),$G$66=$CA$47),CC47,IF(AND($C$66=$AH$3,OR($L$66=$BJ$3,$L$66=$BK$3,$L$66=$BL$3,$L$66=$BM$3),$G$66=$CA$48),CC48,IF(AND($C$66=$AH$3,OR($L$66=$BJ$3,$L$66=$BK$3,$L$66=$BL$3,$L$66=$BM$3),$G$66=$CA$49),CC49,IF(AND($C$66=$AH$3,OR($L$66=$BJ$3,$L$66=$BK$3,$L$66=$BL$3,$L$66=$BM$3),$G$66=$CA$50),CC50,IF(AND($C$66=$AH$3,OR($L$66=$BJ$3,$L$66=$BK$3,$L$66=$BL$3,$L$66=$BM$3),$G$66=$CA$51),CC51,IF(AND($C$66=$AH$3,OR($L$66=$BJ$3,$L$66=$BK$3,$L$66=$BL$3,$L$66=$BM$3),$G$66=$CA$52),CC52,IF(AND($C$66=$AH$3,OR($L$66=$BJ$3,$L$66=$BK$3,$L$66=$BL$3,$L$66=$BM$3),$G$66=$CA$53),CC53,IF(AND($C$66=$AH$3,OR($L$66=$BJ$3,$L$66=$BK$3,$L$66=$BL$3,$L$66=$BM$3),$G$66=$CA$54),CC54,IF(AND($C$66=$AH$3,OR($L$66=$BJ$3,$L$66=$BK$3,$L$66=$BL$3,$L$66=$BM$3),$G$66=$CA$55),CC55,IF(AND($C$66=$AH$3,OR($L$66=$BJ$3,$L$66=$BK$3,$L$66=$BL$3,$L$66=$BM$3),$G$66=$CA$56),CC56,IF(AND($C$66=$AH$3,OR($L$66=$BJ$3,$L$66=$BK$3,$L$66=$BL$3,$L$66=$BM$3),$G$66=$CA$57),CC57,IF(AND($C$66=$AH$3,OR($L$66=$BJ$3,$L$66=$BK$3,$L$66=$BL$3,$L$66=$BM$3),$G$66=$CA$58),CC58,IF(AND($C$66=$AH$3,OR($L$66=$BJ$3,$L$66=$BK$3,$L$66=$BL$3,$L$66=$BM$3),$G$66=$CA$59),CC59,IF(AND($C$66=$AH$3,OR($L$66=$BJ$3,$L$66=$BK$3,$L$66=$BL$3,$L$66=$BM$3),$G$66=$CA$60),CC60,IF(AND($C$66=$AH$3,OR($L$66=$BJ$3,$L$66=$BK$3,$L$66=$BL$3,$L$66=$BM$3),$G$66=$CA$61),CC61,IF(AND($C$66=$AH$3,OR($L$66=$BJ$3,$L$66=$BK$3,$L$66=$BL$3,$L$66=$BM$3),$G$66=$CA$62),CC62,0))))))))))))))))))))))</f>
        <v>0</v>
      </c>
      <c r="BK26" s="407">
        <f>IF(AND($C$66=$AH$3,OR($L$66=$BK$3,$L$66=$BL$3,$L$66=$BM$3),$G$66=$CA$41),CD41,IF(AND($C$66=$AH$3,OR($L$66=$BK$3,$L$66=$BL$3,$L$66=$BM$3),$G$66=$CA$42),CD42,IF(AND($C$66=$AH$3,OR($L$66=$BK$3,$L$66=$BL$3,$L$66=$BM$3),$G$66=$CA$43),CD43,IF(AND($C$66=$AH$3,OR($L$66=$BK$3,$L$66=$BL$3,$L$66=$BM$3),$G$66=$CA$44),CD44,IF(AND($C$66=$AH$3,OR($L$66=$BK$3,$L$66=$BL$3,$L$66=$BM$3),$G$66=$CA$45),CD45,IF(AND($C$66=$AH$3,OR($L$66=$BK$3,$L$66=$BL$3,$L$66=$BM$3),$G$66=$CA$46),CD46,IF(AND($C$66=$AH$3,OR($L$66=$BK$3,$L$66=$BL$3,$L$66=$BM$3),$G$66=$CA$47),CD47,IF(AND($C$66=$AH$3,OR($L$66=$BK$3,$L$66=$BL$3,$L$66=$BM$3),$G$66=$CA$48),CD48,IF(AND($C$66=$AH$3,OR($L$66=$BK$3,$L$66=$BL$3,$L$66=$BM$3),$G$66=$CA$49),CD49,IF(AND($C$66=$AH$3,OR($L$66=$BK$3,$L$66=$BL$3,$L$66=$BM$3),$G$66=$CA$50),CD50,IF(AND($C$66=$AH$3,OR($L$66=$BK$3,$L$66=$BL$3,$L$66=$BM$3),$G$66=$CA$51),CD51,IF(AND($C$66=$AH$3,OR($L$66=$BK$3,$L$66=$BL$3,$L$66=$BM$3),$G$66=$CA$52),CD52,IF(AND($C$66=$AH$3,OR($L$66=$BK$3,$L$66=$BL$3,$L$66=$BM$3),$G$66=$CA$53),CD53,IF(AND($C$66=$AH$3,OR($L$66=$BK$3,$L$66=$BL$3,$L$66=$BM$3),$G$66=$CA$54),CD54,IF(AND($C$66=$AH$3,OR($L$66=$BK$3,$L$66=$BL$3,$L$66=$BM$3),$G$66=$CA$55),CD55,IF(AND($C$66=$AH$3,OR($L$66=$BK$3,$L$66=$BL$3,$L$66=$BM$3),$G$66=$CA$56),CD56,IF(AND($C$66=$AH$3,OR($L$66=$BK$3,$L$66=$BL$3,$L$66=$BM$3),$G$66=$CA$57),CD57,IF(AND($C$66=$AH$3,OR($L$66=$BK$3,$L$66=$BL$3,$L$66=$BM$3),$G$66=$CA$58),CD58,IF(AND($C$66=$AH$3,OR($L$66=$BK$3,$L$66=$BL$3,$L$66=$BM$3),$G$66=$CA$59),CD59,IF(AND($C$66=$AH$3,OR($L$66=$BK$3,$L$66=$BL$3,$L$66=$BM$3),$G$66=$CA$60),CD60,IF(AND($C$66=$AH$3,OR($L$66=$BK$3,$L$66=$BL$3,$L$66=$BM$3),$G$66=$CA$61),CD61,IF(AND($C$66=$AH$3,OR($L$66=$BK$3,$L$66=$BL$3,$L$66=$BM$3),$G$66=$CA$62),CD62,0))))))))))))))))))))))</f>
        <v>0</v>
      </c>
      <c r="BL26" s="407">
        <f>IF(AND($C$66=$AH$3,OR($L$66=$BL$3,$L$66=$BM$3),$G$66=$CA$41),CE41,IF(AND($C$66=$AH$3,OR($L$66=$BL$3,$L$66=$BM$3),$G$66=$CA$42),CE42,IF(AND($C$66=$AH$3,OR($L$66=$BL$3,$L$66=$BM$3),$G$66=$CA$43),CE43,IF(AND($C$66=$AH$3,OR($L$66=$BL$3,$L$66=$BM$3),$G$66=$CA$44),CE44,IF(AND($C$66=$AH$3,OR($L$66=$BL$3,$L$66=$BM$3),$G$66=$CA$45),CE45,IF(AND($C$66=$AH$3,OR($L$66=$BL$3,$L$66=$BM$3),$G$66=$CA$46),CE46,IF(AND($C$66=$AH$3,OR($L$66=$BL$3,$L$66=$BM$3),$G$66=$CA$47),CE47,IF(AND($C$66=$AH$3,OR($L$66=$BL$3,$L$66=$BM$3),$G$66=$CA$48),CE48,IF(AND($C$66=$AH$3,OR($L$66=$BL$3,$L$66=$BM$3),$G$66=$CA$49),CE49,IF(AND($C$66=$AH$3,OR($L$66=$BL$3,$L$66=$BM$3),$G$66=$CA$50),CE50,IF(AND($C$66=$AH$3,OR($L$66=$BL$3,$L$66=$BM$3),$G$66=$CA$51),CE51,IF(AND($C$66=$AH$3,OR($L$66=$BL$3,$L$66=$BM$3),$G$66=$CA$52),CE52,IF(AND($C$66=$AH$3,OR($L$66=$BL$3,$L$66=$BM$3),$G$66=$CA$53),CE53,IF(AND($C$66=$AH$3,OR($L$66=$BL$3,$L$66=$BM$3),$G$66=$CA$54),CE54,IF(AND($C$66=$AH$3,OR($L$66=$BL$3,$L$66=$BM$3),$G$66=$CA$55),CE55,IF(AND($C$66=$AH$3,OR($L$66=$BL$3,$L$66=$BM$3),$G$66=$CA$56),CE56,IF(AND($C$66=$AH$3,OR($L$66=$BL$3,$L$66=$BM$3),$G$66=$CA$57),CE57,IF(AND($C$66=$AH$3,OR($L$66=$BL$3,$L$66=$BM$3),$G$66=$CA$58),CE58,IF(AND($C$66=$AH$3,OR($L$66=$BL$3,$L$66=$BM$3),$G$66=$CA$59),CE59,IF(AND($C$66=$AH$3,OR($L$66=$BL$3,$L$66=$BM$3),$G$66=$CA$60),CE60,IF(AND($C$66=$AH$3,OR($L$66=$BL$3,$L$66=$BM$3),$G$66=$CA$61),CE61,IF(AND($C$66=$AH$3,OR($L$66=$BL$3,$L$66=$BM$3),$G$66=$CA$62),CE62,0))))))))))))))))))))))</f>
        <v>0</v>
      </c>
      <c r="BM26" s="407">
        <f>IF(AND($C$66=$AH$3,OR($L$66=$BM$3),$G$66=$CA$41),CF41,IF(AND($C$66=$AH$3,OR($L$66=$BM$3),$G$66=$CA$42),CF42,IF(AND($C$66=$AH$3,OR($L$66=$BM$3),$G$66=$CA$43),CF43,IF(AND($C$66=$AH$3,OR($L$66=$BM$3),$G$66=$CA$44),CF44,IF(AND($C$66=$AH$3,OR($L$66=$BM$3),$G$66=$CA$45),CF45,IF(AND($C$66=$AH$3,OR($L$66=$BM$3),$G$66=$CA$46),CF46,IF(AND($C$66=$AH$3,OR($L$66=$BM$3),$G$66=$CA$47),CF47,IF(AND($C$66=$AH$3,OR($L$66=$BM$3),$G$66=$CA$48),CF48,IF(AND($C$66=$AH$3,OR($L$66=$BM$3),$G$66=$CA$49),CF49,IF(AND($C$66=$AH$3,OR($L$66=$BM$3),$G$66=$CA$50),CF50,IF(AND($C$66=$AH$3,OR($L$66=$BM$3),$G$66=$CA$51),CF51,IF(AND($C$66=$AH$3,OR($L$66=$BM$3),$G$66=$CA$52),CF52,IF(AND($C$66=$AH$3,OR($L$66=$BM$3),$G$66=$CA$53),CF53,IF(AND($C$66=$AH$3,OR($L$66=$BM$3),$G$66=$CA$54),CF54,IF(AND($C$66=$AH$3,OR($L$66=$BM$3),$G$66=$CA$55),CF55,IF(AND($C$66=$AH$3,OR($L$66=$BM$3),$G$66=$CA$56),CF56,IF(AND($C$66=$AH$3,OR($L$66=$BM$3),$G$66=$CA$57),CF57,IF(AND($C$66=$AH$3,OR($L$66=$BM$3),$G$66=$CA$58),CF58,IF(AND($C$66=$AH$3,OR($L$66=$BM$3),$G$66=$CA$59),CF59,IF(AND($C$66=$AH$3,OR($L$66=$BM$3),$G$66=$CA$60),CF60,IF(AND($C$66=$AH$3,OR($L$66=$BM$3),$G$66=$CA$61),CF61,IF(AND($C$66=$AH$3,OR($L$66=$BM$3),$G$66=$CA$62),CF62,0))))))))))))))))))))))</f>
        <v>0</v>
      </c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6"/>
      <c r="CA26" s="395" t="s">
        <v>1203</v>
      </c>
      <c r="CB26" s="394" t="s">
        <v>847</v>
      </c>
      <c r="CC26" s="395" t="s">
        <v>1573</v>
      </c>
      <c r="CD26" s="394"/>
      <c r="CE26" s="394" t="s">
        <v>1574</v>
      </c>
      <c r="CF26" s="394" t="s">
        <v>1575</v>
      </c>
      <c r="CG26" s="233"/>
      <c r="CH26" s="233"/>
      <c r="CI26" s="233"/>
      <c r="CJ26" s="233"/>
      <c r="CK26" s="233"/>
      <c r="CL26" s="233"/>
      <c r="CM26" s="233"/>
      <c r="CN26" s="361" t="str">
        <f t="shared" si="2"/>
        <v xml:space="preserve"> </v>
      </c>
      <c r="CO26" s="361" t="str">
        <f t="shared" si="3"/>
        <v xml:space="preserve"> </v>
      </c>
      <c r="CP26" s="361" t="str">
        <f t="shared" si="4"/>
        <v xml:space="preserve"> </v>
      </c>
      <c r="CQ26" s="361" t="str">
        <f t="shared" si="5"/>
        <v xml:space="preserve"> </v>
      </c>
      <c r="CR26" s="361" t="str">
        <f t="shared" si="6"/>
        <v xml:space="preserve"> </v>
      </c>
      <c r="CS26" s="233" t="s">
        <v>924</v>
      </c>
      <c r="CT26" s="233"/>
      <c r="CU26" s="233"/>
      <c r="CV26" s="233" t="s">
        <v>924</v>
      </c>
      <c r="CW26" s="233"/>
      <c r="CX26" s="233"/>
      <c r="CY26" s="233" t="s">
        <v>1217</v>
      </c>
      <c r="CZ26" s="233"/>
      <c r="DA26" s="233" t="s">
        <v>967</v>
      </c>
      <c r="DB26" s="233"/>
      <c r="DC26" s="339" t="s">
        <v>1446</v>
      </c>
      <c r="DD26" s="233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427" t="s">
        <v>1167</v>
      </c>
      <c r="DT26" s="428"/>
      <c r="DU26" s="428"/>
      <c r="DV26" s="428"/>
      <c r="DW26" s="428"/>
      <c r="DX26" s="428"/>
      <c r="DY26" s="428"/>
      <c r="DZ26" s="428"/>
      <c r="EA26" s="29">
        <v>19</v>
      </c>
      <c r="EB26" s="29"/>
      <c r="EC26" s="29"/>
      <c r="ED26" s="29"/>
      <c r="EE26" s="29"/>
      <c r="EF26" s="29"/>
      <c r="EG26" s="29"/>
      <c r="EH26" s="97"/>
      <c r="EI26" s="97"/>
      <c r="EJ26" s="97"/>
      <c r="EK26" s="97">
        <f>IF(EK5&gt;0,EK5,IF(EK6&gt;0,EK6,IF(EK7&gt;0,EK7,IF(EK8&gt;0,EK8,IF(EK9&gt;0,EK9,IF(EK10&gt;0,EK10,IF(EK11&gt;0,EK11,IF(EK12&gt;0,EK12,IF(EK13&gt;0,EK13,IF(EK14&gt;0,EK14,IF(EK15&gt;0,EK15,IF(EK16&gt;0,EK16,IF(EK17&gt;0,EK17,IF(EK18&gt;0,EK18,IF(EK19&gt;0,EK19,IF(EK20&gt;0,EK20,IF(EK21&gt;0,EK21,IF(EK22&gt;0,EK22,IF(EK23&gt;0,EK23,IF(EK24&gt;0,EK24,IF(EK25&gt;0,EK25,0)))))))))))))))))))))</f>
        <v>0</v>
      </c>
      <c r="EL26" s="97"/>
      <c r="EM26" s="29"/>
      <c r="EN26" s="29"/>
      <c r="EO26" s="29"/>
      <c r="EP26" s="29"/>
      <c r="EQ26" s="29"/>
      <c r="ER26" s="339"/>
      <c r="ES26" s="339"/>
      <c r="ET26" s="417" t="str">
        <f>IF($Y$27="Medium",EB49,IF($Y$27="Heavy",EB76," "))</f>
        <v xml:space="preserve"> </v>
      </c>
      <c r="EU26" s="339"/>
      <c r="EV26" s="340"/>
      <c r="EW26" s="340"/>
      <c r="EX26" s="34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</row>
    <row r="27" spans="1:168" ht="15.95" customHeight="1" x14ac:dyDescent="0.3">
      <c r="A27" s="577"/>
      <c r="B27" s="578"/>
      <c r="C27" s="578"/>
      <c r="D27" s="578"/>
      <c r="E27" s="578"/>
      <c r="F27" s="578"/>
      <c r="G27" s="578"/>
      <c r="H27" s="578"/>
      <c r="I27" s="578"/>
      <c r="J27" s="578"/>
      <c r="K27" s="578"/>
      <c r="L27" s="579"/>
      <c r="M27" s="33"/>
      <c r="N27" s="29"/>
      <c r="O27" s="583" t="s">
        <v>984</v>
      </c>
      <c r="P27" s="584"/>
      <c r="Q27" s="29"/>
      <c r="R27" s="583" t="s">
        <v>1022</v>
      </c>
      <c r="S27" s="587"/>
      <c r="T27" s="584"/>
      <c r="U27" s="29"/>
      <c r="V27" s="576" t="s">
        <v>1023</v>
      </c>
      <c r="W27" s="33"/>
      <c r="X27" s="305" t="s">
        <v>1262</v>
      </c>
      <c r="Y27" s="330"/>
      <c r="Z27" s="498" t="s">
        <v>1263</v>
      </c>
      <c r="AA27" s="499"/>
      <c r="AB27" s="512"/>
      <c r="AC27" s="513"/>
      <c r="AD27" s="514"/>
      <c r="AE27" s="307" t="s">
        <v>1423</v>
      </c>
      <c r="AF27" s="312"/>
      <c r="AG27" s="29"/>
      <c r="AH27" s="29" t="s">
        <v>1468</v>
      </c>
      <c r="AI27" s="29" t="s">
        <v>1212</v>
      </c>
      <c r="AJ27" s="29"/>
      <c r="AK27" s="29"/>
      <c r="AL27" s="29"/>
      <c r="AM27" s="29"/>
      <c r="AN27" s="29"/>
      <c r="AO27" s="387" t="s">
        <v>1563</v>
      </c>
      <c r="AP27" s="29"/>
      <c r="AQ27" s="29"/>
      <c r="AR27" s="29"/>
      <c r="AS27" s="29" t="s">
        <v>1563</v>
      </c>
      <c r="AT27" s="371" t="str">
        <f>IF($C$54=$AH$1,$G$54," ")</f>
        <v xml:space="preserve"> </v>
      </c>
      <c r="AU27" s="371">
        <f t="shared" ref="AU27:BF27" si="33">IF($AT$27=$AT$3,AU3,IF($AT$27=$AT$4,AU4,IF($AT$27=$AT$5,AU5,IF($AT$27=$AT$6,AU6,IF($AT$27=$AT$7,AU7,IF($AT$27=$AT$8,AU8,IF($AT$27=$AT$9,AU9,IF($AT$27=$AT$10,AU10,IF($AT$27=$AT$11,AU11,IF($AT$27=$AT$12,AU12,IF($AT$27=$AT$14,AU14,IF($AT$27=$AT$15,AU15,IF($AT$27=$AT$16,AU16,0)))))))))))))</f>
        <v>0</v>
      </c>
      <c r="AV27" s="371">
        <f t="shared" si="33"/>
        <v>0</v>
      </c>
      <c r="AW27" s="371">
        <f t="shared" si="33"/>
        <v>0</v>
      </c>
      <c r="AX27" s="371">
        <f t="shared" si="33"/>
        <v>0</v>
      </c>
      <c r="AY27" s="371">
        <f t="shared" si="33"/>
        <v>0</v>
      </c>
      <c r="AZ27" s="371">
        <f t="shared" si="33"/>
        <v>0</v>
      </c>
      <c r="BA27" s="371">
        <f t="shared" si="33"/>
        <v>0</v>
      </c>
      <c r="BB27" s="371">
        <f t="shared" si="33"/>
        <v>0</v>
      </c>
      <c r="BC27" s="371">
        <f t="shared" si="33"/>
        <v>0</v>
      </c>
      <c r="BD27" s="371">
        <f t="shared" si="33"/>
        <v>0</v>
      </c>
      <c r="BE27" s="371">
        <f t="shared" si="33"/>
        <v>0</v>
      </c>
      <c r="BF27" s="371">
        <f t="shared" si="33"/>
        <v>0</v>
      </c>
      <c r="BG27" s="29"/>
      <c r="BH27" s="29"/>
      <c r="BI27" s="409" t="s">
        <v>1535</v>
      </c>
      <c r="BJ27" s="407">
        <f>IF(AND($C$66=$AH$4,OR($L$66=$BJ$3,$L$66=$BK$3,$L$66=$BL$3,$L$66=$BM$3),$G$66=$CA$67),CC67,IF(AND($C$66=$AH$4,OR($L$66=$BJ$3,$L$66=$BK$3,$L$66=$BL$3,$L$66=$BM$3),$G$66=$CA$68),CC68,IF(AND($C$66=$AH$4,OR($L$66=$BJ$3,$L$66=$BK$3,$L$66=$BL$3,$L$66=$BM$3),$G$66=$CA$69),CC69,IF(AND($C$66=$AH$4,OR($L$66=$BJ$3,$L$66=$BK$3,$L$66=$BL$3,$L$66=$BM$3),$G$66=$CA$70),CC70,IF(AND($C$66=$AH$4,OR($L$66=$BJ$3,$L$66=$BK$3,$L$66=$BL$3,$L$66=$BM$3),$G$66=$CA$71),CC71,IF(AND($C$66=$AH$4,OR($L$66=$BJ$3,$L$66=$BK$3,$L$66=$BL$3,$L$66=$BM$3),$G$66=$CA$72),CC72,IF(AND($C$66=$AH$4,OR($L$66=$BJ$3,$L$66=$BK$3,$L$66=$BL$3,$L$66=$BM$3),$G$66=$CA$73),CC73,IF(AND($C$66=$AH$4,OR($L$66=$BJ$3,$L$66=$BK$3,$L$66=$BL$3,$L$66=$BM$3),$G$66=$CA$74),CC74,IF(AND($C$66=$AH$4,OR($L$66=$BJ$3,$L$66=$BK$3,$L$66=$BL$3,$L$66=$BM$3),$G$66=$CA$75),CC75,IF(AND($C$66=$AH$4,OR($L$66=$BJ$3,$L$66=$BK$3,$L$66=$BL$3,$L$66=$BM$3),$G$66=$CA$76),CC76,IF(AND($C$66=$AH$4,OR($L$66=$BJ$3,$L$66=$BK$3,$L$66=$BL$3,$L$66=$BM$3),$G$66=$CA$77),CC77,IF(AND($C$66=$AH$4,OR($L$66=$BJ$3,$L$66=$BK$3,$L$66=$BL$3,$L$66=$BM$3),$G$66=$CA$78),CC78,IF(AND($C$66=$AH$4,OR($L$66=$BJ$3,$L$66=$BK$3,$L$66=$BL$3,$L$66=$BM$3),$G$66=$CA$79),CC79,IF(AND($C$66=$AH$4,OR($L$66=$BJ$3,$L$66=$BK$3,$L$66=$BL$3,$L$66=$BM$3),$G$66=$CA$80),CC80,IF(AND($C$66=$AH$4,OR($L$66=$BJ$3,$L$66=$BK$3,$L$66=$BL$3,$L$66=$BM$3),$G$66=$CA$81),CC81,IF(AND($C$66=$AH$4,OR($L$66=$BJ$3,$L$66=$BK$3,$L$66=$BL$3,$L$66=$BM$3),$G$66=$CA$82),CC82,IF(AND($C$66=$AH$4,OR($L$66=$BJ$3,$L$66=$BK$3,$L$66=$BL$3,$L$66=$BM$3),$G$66=$CA$83),CC83,0)))))))))))))))))</f>
        <v>0</v>
      </c>
      <c r="BK27" s="407">
        <f>IF(AND($C$66=$AH$4,OR($L$66=$BK$3,$L$66=$BL$3,$L$66=$BM$3),$G$66=$CA$67),CD67,IF(AND($C$66=$AH$4,OR($L$66=$BK$3,$L$66=$BL$3,$L$66=$BM$3),$G$66=$CA$68),CD68,IF(AND($C$66=$AH$4,OR($L$66=$BK$3,$L$66=$BL$3,$L$66=$BM$3),$G$66=$CA$69),CD69,IF(AND($C$66=$AH$4,OR($L$66=$BK$3,$L$66=$BL$3,$L$66=$BM$3),$G$66=$CA$70),CD70,IF(AND($C$66=$AH$4,OR($L$66=$BK$3,$L$66=$BL$3,$L$66=$BM$3),$G$66=$CA$71),CD71,IF(AND($C$66=$AH$4,OR($L$66=$BK$3,$L$66=$BL$3,$L$66=$BM$3),$G$66=$CA$72),CD72,IF(AND($C$66=$AH$4,OR($L$66=$BK$3,$L$66=$BL$3,$L$66=$BM$3),$G$66=$CA$73),CD73,IF(AND($C$66=$AH$4,OR($L$66=$BK$3,$L$66=$BL$3,$L$66=$BM$3),$G$66=$CA$74),CD74,IF(AND($C$66=$AH$4,OR($L$66=$BK$3,$L$66=$BL$3,$L$66=$BM$3),$G$66=$CA$75),CD75,IF(AND($C$66=$AH$4,OR($L$66=$BK$3,$L$66=$BL$3,$L$66=$BM$3),$G$66=$CA$76),CD76,IF(AND($C$66=$AH$4,OR($L$66=$BK$3,$L$66=$BL$3,$L$66=$BM$3),$G$66=$CA$77),CD77,IF(AND($C$66=$AH$4,OR($L$66=$BK$3,$L$66=$BL$3,$L$66=$BM$3),$G$66=$CA$78),CD78,IF(AND($C$66=$AH$4,OR($L$66=$BK$3,$L$66=$BL$3,$L$66=$BM$3),$G$66=$CA$79),CD79,IF(AND($C$66=$AH$4,OR($L$66=$BK$3,$L$66=$BL$3,$L$66=$BM$3),$G$66=$CA$80),CD80,IF(AND($C$66=$AH$4,OR($L$66=$BK$3,$L$66=$BL$3,$L$66=$BM$3),$G$66=$CA$81),CD81,IF(AND($C$66=$AH$4,OR($L$66=$BK$3,$L$66=$BL$3,$L$66=$BM$3),$G$66=$CA$82),CD82,IF(AND($C$66=$AH$4,OR($L$66=$BK$3,$L$66=$BL$3,$L$66=$BM$3),$G$66=$CA$83),CD83,0)))))))))))))))))</f>
        <v>0</v>
      </c>
      <c r="BL27" s="407">
        <f>IF(AND($C$66=$AH$4,OR($L$66=$BL$3,$L$66=$BM$3),$G$66=$CA$67),CE67,IF(AND($C$66=$AH$4,OR($L$66=$BL$3,$L$66=$BM$3),$G$66=$CA$68),CE68,IF(AND($C$66=$AH$4,OR($L$66=$BL$3,$L$66=$BM$3),$G$66=$CA$69),CE69,IF(AND($C$66=$AH$4,OR($L$66=$BL$3,$L$66=$BM$3),$G$66=$CA$70),CE70,IF(AND($C$66=$AH$4,OR($L$66=$BL$3,$L$66=$BM$3),$G$66=$CA$71),CE71,IF(AND($C$66=$AH$4,OR($L$66=$BL$3,$L$66=$BM$3),$G$66=$CA$72),CE72,IF(AND($C$66=$AH$4,OR($L$66=$BL$3,$L$66=$BM$3),$G$66=$CA$73),CE73,IF(AND($C$66=$AH$4,OR($L$66=$BL$3,$L$66=$BM$3),$G$66=$CA$74),CE74,IF(AND($C$66=$AH$4,OR($L$66=$BL$3,$L$66=$BM$3),$G$66=$CA$75),CE75,IF(AND($C$66=$AH$4,OR($L$66=$BL$3,$L$66=$BM$3),$G$66=$CA$76),CE76,IF(AND($C$66=$AH$4,OR($L$66=$BL$3,$L$66=$BM$3),$G$66=$CA$77),CE77,IF(AND($C$66=$AH$4,OR($L$66=$BL$3,$L$66=$BM$3),$G$66=$CA$78),CE78,IF(AND($C$66=$AH$4,OR($L$66=$BL$3,$L$66=$BM$3),$G$66=$CA$79),CE79,IF(AND($C$66=$AH$4,OR($L$66=$BL$3,$L$66=$BM$3),$G$66=$CA$80),CE80,IF(AND($C$66=$AH$4,OR($L$66=$BL$3,$L$66=$BM$3),$G$66=$CA$81),CE81,IF(AND($C$66=$AH$4,OR($L$66=$BL$3,$L$66=$BM$3),$G$66=$CA$82),CE82,IF(AND($C$66=$AH$4,OR($L$66=$BL$3,$L$66=$BM$3),$G$66=$CA$83),CE83,0)))))))))))))))))</f>
        <v>0</v>
      </c>
      <c r="BM27" s="407">
        <f>IF(AND($C$66=$AH$4,OR($L$66=$BM$3),$G$66=$CA$67),CF67,IF(AND($C$66=$AH$4,OR($L$66=$BM$3),$G$66=$CA$68),CF68,IF(AND($C$66=$AH$4,OR($L$66=$BM$3),$G$66=$CA$69),CF69,IF(AND($C$66=$AH$4,OR($L$66=$BM$3),$G$66=$CA$70),CF70,IF(AND($C$66=$AH$4,OR($L$66=$BM$3),$G$66=$CA$71),CF71,IF(AND($C$66=$AH$4,OR($L$66=$BM$3),$G$66=$CA$72),CF72,IF(AND($C$66=$AH$4,OR($L$66=$BM$3),$G$66=$CA$73),CF73,IF(AND($C$66=$AH$4,OR($L$66=$BM$3),$G$66=$CA$74),CF74,IF(AND($C$66=$AH$4,OR($L$66=$BM$3),$G$66=$CA$75),CF75,IF(AND($C$66=$AH$4,OR($L$66=$BM$3),$G$66=$CA$76),CF76,IF(AND($C$66=$AH$4,OR($L$66=$BM$3),$G$66=$CA$77),CF77,IF(AND($C$66=$AH$4,OR($L$66=$BM$3),$G$66=$CA$78),CF78,IF(AND($C$66=$AH$4,OR($L$66=$BM$3),$G$66=$CA$79),CF79,IF(AND($C$66=$AH$4,OR($L$66=$BM$3),$G$66=$CA$80),CF80,IF(AND($C$66=$AH$4,OR($L$66=$BM$3),$G$66=$CA$81),CF81,IF(AND($C$66=$AH$4,OR($L$66=$BM$3),$G$66=$CA$82),CF82,IF(AND($C$66=$AH$4,OR($L$66=$BM$3),$G$66=$CA$83),CF83,0)))))))))))))))))</f>
        <v>0</v>
      </c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6"/>
      <c r="CA27" s="395" t="s">
        <v>802</v>
      </c>
      <c r="CB27" s="394" t="s">
        <v>847</v>
      </c>
      <c r="CC27" s="395" t="s">
        <v>1573</v>
      </c>
      <c r="CD27" s="394"/>
      <c r="CE27" s="394" t="s">
        <v>1574</v>
      </c>
      <c r="CF27" s="394" t="s">
        <v>1575</v>
      </c>
      <c r="CG27" s="233"/>
      <c r="CH27" s="233"/>
      <c r="CI27" s="233"/>
      <c r="CJ27" s="233"/>
      <c r="CK27" s="233"/>
      <c r="CL27" s="233"/>
      <c r="CM27" s="233"/>
      <c r="CN27" s="361" t="str">
        <f t="shared" si="2"/>
        <v xml:space="preserve"> </v>
      </c>
      <c r="CO27" s="361" t="str">
        <f t="shared" si="3"/>
        <v xml:space="preserve"> </v>
      </c>
      <c r="CP27" s="361" t="str">
        <f t="shared" si="4"/>
        <v xml:space="preserve"> </v>
      </c>
      <c r="CQ27" s="361" t="str">
        <f t="shared" si="5"/>
        <v xml:space="preserve"> </v>
      </c>
      <c r="CR27" s="361" t="str">
        <f t="shared" si="6"/>
        <v xml:space="preserve"> </v>
      </c>
      <c r="CS27" s="233" t="s">
        <v>925</v>
      </c>
      <c r="CT27" s="233"/>
      <c r="CU27" s="233"/>
      <c r="CV27" s="233" t="s">
        <v>925</v>
      </c>
      <c r="CW27" s="233"/>
      <c r="CX27" s="233"/>
      <c r="CY27" s="233" t="s">
        <v>1218</v>
      </c>
      <c r="CZ27" s="233"/>
      <c r="DA27" s="233" t="s">
        <v>968</v>
      </c>
      <c r="DB27" s="233"/>
      <c r="DC27" s="339" t="s">
        <v>1447</v>
      </c>
      <c r="DD27" s="233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421" t="s">
        <v>1640</v>
      </c>
      <c r="DT27" s="422">
        <v>1350</v>
      </c>
      <c r="DU27" s="420">
        <v>2</v>
      </c>
      <c r="DV27" s="420">
        <v>35</v>
      </c>
      <c r="DW27" s="420">
        <v>3</v>
      </c>
      <c r="DX27" s="420" t="s">
        <v>1154</v>
      </c>
      <c r="DY27" s="420">
        <v>50</v>
      </c>
      <c r="DZ27" s="420" t="s">
        <v>1168</v>
      </c>
      <c r="EA27" s="29"/>
      <c r="EB27" s="29" t="s">
        <v>1259</v>
      </c>
      <c r="EC27" s="409"/>
      <c r="ED27" s="409"/>
      <c r="EE27" s="409"/>
      <c r="EF27" s="409"/>
      <c r="EG27" s="409"/>
      <c r="EH27" s="97"/>
      <c r="EI27" s="97"/>
      <c r="EJ27" s="97"/>
      <c r="EK27" s="97"/>
      <c r="EL27" s="97"/>
      <c r="EM27" s="29"/>
      <c r="EN27" s="29"/>
      <c r="EO27" s="29"/>
      <c r="EP27" s="29"/>
      <c r="EQ27" s="29"/>
      <c r="ER27" s="339"/>
      <c r="ES27" s="339"/>
      <c r="ET27" s="417" t="str">
        <f>IF($Y$27="Medium",EB50,IF($Y$27="Heavy",EB77," "))</f>
        <v xml:space="preserve"> </v>
      </c>
      <c r="EU27" s="339"/>
      <c r="EV27" s="340"/>
      <c r="EW27" s="340"/>
      <c r="EX27" s="34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</row>
    <row r="28" spans="1:168" ht="15.95" customHeight="1" x14ac:dyDescent="0.25">
      <c r="A28" s="580"/>
      <c r="B28" s="581"/>
      <c r="C28" s="581"/>
      <c r="D28" s="581"/>
      <c r="E28" s="581"/>
      <c r="F28" s="581"/>
      <c r="G28" s="581"/>
      <c r="H28" s="581"/>
      <c r="I28" s="581"/>
      <c r="J28" s="581"/>
      <c r="K28" s="581"/>
      <c r="L28" s="582"/>
      <c r="M28" s="32"/>
      <c r="N28" s="29"/>
      <c r="O28" s="585"/>
      <c r="P28" s="586"/>
      <c r="Q28" s="29"/>
      <c r="R28" s="585"/>
      <c r="S28" s="588"/>
      <c r="T28" s="586"/>
      <c r="U28" s="29"/>
      <c r="V28" s="576"/>
      <c r="W28" s="33"/>
      <c r="X28" s="498" t="s">
        <v>194</v>
      </c>
      <c r="Y28" s="499"/>
      <c r="Z28" s="499"/>
      <c r="AA28" s="500"/>
      <c r="AB28" s="303">
        <f>IF(EH4=" "," ",EH4+EN7+IF(OR(AE29=DX95,AE30=DX95,AE31=DX95),1,0)+IF(OR(AE29=DX96,AE30=DX96,AE31=DX96),2,0))</f>
        <v>0</v>
      </c>
      <c r="AC28" s="300" t="s">
        <v>183</v>
      </c>
      <c r="AD28" s="303">
        <f>IF(EI4=" "," ",ROUNDDOWN(EI4*(1+IF(AF27=EA68,0.1,IF(AF27=EA69,0.2,IF(AF27=EA70,0.3,IF(AF27=EA71,0.4,IF(AF27=EA72,0.5)))))+IF(Z34=DW145,0.1,0)+IF(AC34=DW153,0.1,0)+IF(OR(AE29=DX107,AE30=DX107,AE31=DX107),0.1,0)+IF(OR(AE29=DX108,AE30=DX108,AE31=DX108),0.2,0)+IF(OR(AE29=DX109,AE30=DX109,AE31=DX109),0.3,0)+IF(OR(AE29=DX110,AE30=DX110,AE31=DX110),0.4,0)+IF(OR(AE29=DX111,AE30=DX111,AE31=DX111),0.5,0)),0))</f>
        <v>0</v>
      </c>
      <c r="AE28" s="300" t="s">
        <v>1269</v>
      </c>
      <c r="AF28" s="303">
        <f>EJ4+IF(AE35=DW172,1,0)+IF(AE35=DW173,2,0)+IF(AE35=DW174,3,0)+IF(AE35=DW175,4,0)+IF(AE35=DW176,5,0)</f>
        <v>0</v>
      </c>
      <c r="AG28" s="29"/>
      <c r="AH28" s="226" t="s">
        <v>789</v>
      </c>
      <c r="AI28" s="29" t="s">
        <v>1207</v>
      </c>
      <c r="AJ28" s="29"/>
      <c r="AK28" s="29"/>
      <c r="AL28" s="29"/>
      <c r="AM28" s="29" t="s">
        <v>1563</v>
      </c>
      <c r="AN28" s="29"/>
      <c r="AO28" s="29"/>
      <c r="AP28" s="29"/>
      <c r="AQ28" s="29"/>
      <c r="AR28" s="29"/>
      <c r="AS28" s="29" t="s">
        <v>1564</v>
      </c>
      <c r="AT28" s="371" t="str">
        <f>IF($C$66=$AH$1,$G$66," ")</f>
        <v xml:space="preserve"> </v>
      </c>
      <c r="AU28" s="371">
        <f t="shared" ref="AU28:BF28" si="34">IF($AT$28=$AT$3,AU3,IF($AT$28=$AT$4,AU4,IF($AT$28=$AT$5,AU5,IF($AT$28=$AT$6,AU6,IF($AT$28=$AT$7,AU7,IF($AT$28=$AT$8,AU8,IF($AT$28=$AT$9,AU9,IF($AT$28=$AT$10,AU10,IF($AT$28=$AT$11,AU11,IF($AT$28=$AT$12,AU12,IF($AT$28=$AT$14,AU14,IF($AT$28=$AT$15,AU15,IF($AT$28=$AT$16,AU16,0)))))))))))))</f>
        <v>0</v>
      </c>
      <c r="AV28" s="371">
        <f t="shared" si="34"/>
        <v>0</v>
      </c>
      <c r="AW28" s="371">
        <f t="shared" si="34"/>
        <v>0</v>
      </c>
      <c r="AX28" s="371">
        <f t="shared" si="34"/>
        <v>0</v>
      </c>
      <c r="AY28" s="371">
        <f t="shared" si="34"/>
        <v>0</v>
      </c>
      <c r="AZ28" s="371">
        <f t="shared" si="34"/>
        <v>0</v>
      </c>
      <c r="BA28" s="371">
        <f t="shared" si="34"/>
        <v>0</v>
      </c>
      <c r="BB28" s="371">
        <f t="shared" si="34"/>
        <v>0</v>
      </c>
      <c r="BC28" s="371">
        <f t="shared" si="34"/>
        <v>0</v>
      </c>
      <c r="BD28" s="371">
        <f t="shared" si="34"/>
        <v>0</v>
      </c>
      <c r="BE28" s="371">
        <f t="shared" si="34"/>
        <v>0</v>
      </c>
      <c r="BF28" s="371">
        <f t="shared" si="34"/>
        <v>0</v>
      </c>
      <c r="BG28" s="29"/>
      <c r="BH28" s="29"/>
      <c r="BI28" s="409" t="s">
        <v>1536</v>
      </c>
      <c r="BJ28" s="407">
        <f>IF(AND($C$66=$AH$5,OR($L$66=$BJ$3,$L$66=$BK$3,$L$66=$BL$3,$L$66=$BM$3),$G$66=$CA$88),CC88,IF(AND($C$66=$AH$5,OR($L$66=$BJ$3,$L$66=$BK$3,$L$66=$BL$3,$L$66=$BM$3),$G$66=$CA$89),CC89,IF(AND($C$66=$AH$5,OR($L$66=$BJ$3,$L$66=$BK$3,$L$66=$BL$3,$L$66=$BM$3),$G$66=$CA$90),CC90,IF(AND($C$66=$AH$5,OR($L$66=$BJ$3,$L$66=$BK$3,$L$66=$BL$3,$L$66=$BM$3),$G$66=$CA$91),CC91,IF(AND($C$66=$AH$5,OR($L$66=$BJ$3,$L$66=$BK$3,$L$66=$BL$3,$L$66=$BM$3),$G$66=$CA$92),CC92,IF(AND($C$66=$AH$5,OR($L$66=$BJ$3,$L$66=$BK$3,$L$66=$BL$3,$L$66=$BM$3),$G$66=$CA$93),CC93,IF(AND($C$66=$AH$5,OR($L$66=$BJ$3,$L$66=$BK$3,$L$66=$BL$3,$L$66=$BM$3),$G$66=$CA$94),CC94,IF(AND($C$66=$AH$5,OR($L$66=$BJ$3,$L$66=$BK$3,$L$66=$BL$3,$L$66=$BM$3),$G$66=$CA$95),CC95,IF(AND($C$66=$AH$5,OR($L$66=$BJ$3,$L$66=$BK$3,$L$66=$BL$3,$L$66=$BM$3),$G$66=$CA$96),CC96,IF(AND($C$66=$AH$5,OR($L$66=$BJ$3,$L$66=$BK$3,$L$66=$BL$3,$L$66=$BM$3),$G$66=$CA$97),CC97,IF(AND($C$66=$AH$5,OR($L$66=$BJ$3,$L$66=$BK$3,$L$66=$BL$3,$L$66=$BM$3),$G$66=$CA$98),CC98,IF(AND($C$66=$AH$5,OR($L$66=$BJ$3,$L$66=$BK$3,$L$66=$BL$3,$L$66=$BM$3),$G$66=$CA$99),CC99,IF(AND($C$66=$AH$5,OR($L$66=$BJ$3,$L$66=$BK$3,$L$66=$BL$3,$L$66=$BM$3),$G$66=$CA$100),CC100,IF(AND($C$66=$AH$5,OR($L$66=$BJ$3,$L$66=$BK$3,$L$66=$BL$3,$L$66=$BM$3),$G$66=$CA$101),CC101,IF(AND($C$66=$AH$5,OR($L$66=$BJ$3,$L$66=$BK$3,$L$66=$BL$3,$L$66=$BM$3),$G$66=$CA$102),CC102,IF(AND($C$66=$AH$5,OR($L$66=$BJ$3,$L$66=$BK$3,$L$66=$BL$3,$L$66=$BM$3),$G$66=$CA$103),CC103,IF(AND($C$66=$AH$5,OR($L$66=$BJ$3,$L$66=$BK$3,$L$66=$BL$3,$L$66=$BM$3),$G$66=$CA$104),CC104,IF(AND($C$66=$AH$5,OR($L$66=$BJ$3,$L$66=$BK$3,$L$66=$BL$3,$L$66=$BM$3),$G$66=$CA$105),CC105,0))))))))))))))))))</f>
        <v>0</v>
      </c>
      <c r="BK28" s="407">
        <f>IF(AND($C$66=$AH$5,OR($L$66=$BK$3,$L$66=$BL$3,$L$66=$BM$3),$G$66=$CA$88),CD88,IF(AND($C$66=$AH$5,OR($L$66=$BK$3,$L$66=$BL$3,$L$66=$BM$3),$G$66=$CA$89),CD89,IF(AND($C$66=$AH$5,OR($L$66=$BK$3,$L$66=$BL$3,$L$66=$BM$3),$G$66=$CA$90),CD90,IF(AND($C$66=$AH$5,OR($L$66=$BK$3,$L$66=$BL$3,$L$66=$BM$3),$G$66=$CA$91),CD91,IF(AND($C$66=$AH$5,OR($L$66=$BK$3,$L$66=$BL$3,$L$66=$BM$3),$G$66=$CA$92),CD92,IF(AND($C$66=$AH$5,OR($L$66=$BK$3,$L$66=$BL$3,$L$66=$BM$3),$G$66=$CA$93),CD93,IF(AND($C$66=$AH$5,OR($L$66=$BK$3,$L$66=$BL$3,$L$66=$BM$3),$G$66=$CA$94),CD94,IF(AND($C$66=$AH$5,OR($L$66=$BK$3,$L$66=$BL$3,$L$66=$BM$3),$G$66=$CA$95),CD95,IF(AND($C$66=$AH$5,OR($L$66=$BK$3,$L$66=$BL$3,$L$66=$BM$3),$G$66=$CA$96),CD96,IF(AND($C$66=$AH$5,OR($L$66=$BK$3,$L$66=$BL$3,$L$66=$BM$3),$G$66=$CA$97),CD97,IF(AND($C$66=$AH$5,OR($L$66=$BK$3,$L$66=$BL$3,$L$66=$BM$3),$G$66=$CA$98),CD98,IF(AND($C$66=$AH$5,OR($L$66=$BK$3,$L$66=$BL$3,$L$66=$BM$3),$G$66=$CA$99),CD99,IF(AND($C$66=$AH$5,OR($L$66=$BK$3,$L$66=$BL$3,$L$66=$BM$3),$G$66=$CA$100),CD100,IF(AND($C$66=$AH$5,OR($L$66=$BK$3,$L$66=$BL$3,$L$66=$BM$3),$G$66=$CA$101),CD101,IF(AND($C$66=$AH$5,OR($L$66=$BK$3,$L$66=$BL$3,$L$66=$BM$3),$G$66=$CA$102),CD102,IF(AND($C$66=$AH$5,OR($L$66=$BK$3,$L$66=$BL$3,$L$66=$BM$3),$G$66=$CA$103),CD103,IF(AND($C$66=$AH$5,OR($L$66=$BK$3,$L$66=$BL$3,$L$66=$BM$3),$G$66=$CA$104),CD104,IF(AND($C$66=$AH$5,OR($L$66=$BK$3,$L$66=$BL$3,$L$66=$BM$3),$G$66=$CA$105),CD105,0))))))))))))))))))</f>
        <v>0</v>
      </c>
      <c r="BL28" s="407">
        <f>IF(AND($C$66=$AH$5,OR($L$66=$BL$3,$L$66=$BM$3),$G$66=$CA$88),CE88,IF(AND($C$66=$AH$5,OR($L$66=$BL$3,$L$66=$BM$3),$G$66=$CA$89),CE89,IF(AND($C$66=$AH$5,OR($L$66=$BL$3,$L$66=$BM$3),$G$66=$CA$90),CE90,IF(AND($C$66=$AH$5,OR($L$66=$BL$3,$L$66=$BM$3),$G$66=$CA$91),CE91,IF(AND($C$66=$AH$5,OR($L$66=$BL$3,$L$66=$BM$3),$G$66=$CA$92),CE92,IF(AND($C$66=$AH$5,OR($L$66=$BL$3,$L$66=$BM$3),$G$66=$CA$93),CE93,IF(AND($C$66=$AH$5,OR($L$66=$BL$3,$L$66=$BM$3),$G$66=$CA$94),CE94,IF(AND($C$66=$AH$5,OR($L$66=$BL$3,$L$66=$BM$3),$G$66=$CA$95),CE95,IF(AND($C$66=$AH$5,OR($L$66=$BL$3,$L$66=$BM$3),$G$66=$CA$96),CE96,IF(AND($C$66=$AH$5,OR($L$66=$BL$3,$L$66=$BM$3),$G$66=$CA$97),CE97,IF(AND($C$66=$AH$5,OR($L$66=$BL$3,$L$66=$BM$3),$G$66=$CA$98),CE98,IF(AND($C$66=$AH$5,OR($L$66=$BL$3,$L$66=$BM$3),$G$66=$CA$99),CE99,IF(AND($C$66=$AH$5,OR($L$66=$BL$3,$L$66=$BM$3),$G$66=$CA$100),CE100,IF(AND($C$66=$AH$5,OR($L$66=$BL$3,$L$66=$BM$3),$G$66=$CA$101),CE101,IF(AND($C$66=$AH$5,OR($L$66=$BL$3,$L$66=$BM$3),$G$66=$CA$102),CE102,IF(AND($C$66=$AH$5,OR($L$66=$BL$3,$L$66=$BM$3),$G$66=$CA$103),CE103,IF(AND($C$66=$AH$5,OR($L$66=$BL$3,$L$66=$BM$3),$G$66=$CA$104),CE104,IF(AND($C$66=$AH$5,OR($L$66=$BL$3,$L$66=$BM$3),$G$66=$CA$105),CE105,0))))))))))))))))))</f>
        <v>0</v>
      </c>
      <c r="BM28" s="407">
        <f>IF(AND($C$66=$AH$5,OR($L$66=$BM$3),$G$66=$CA$88),CF88,IF(AND($C$66=$AH$5,OR($L$66=$BM$3),$G$66=$CA$89),CF89,IF(AND($C$66=$AH$5,OR($L$66=$BM$3),$G$66=$CA$90),CF90,IF(AND($C$66=$AH$5,OR($L$66=$BM$3),$G$66=$CA$91),CF91,IF(AND($C$66=$AH$5,OR($L$66=$BM$3),$G$66=$CA$92),CF92,IF(AND($C$66=$AH$5,OR($L$66=$BM$3),$G$66=$CA$93),CF93,IF(AND($C$66=$AH$5,OR($L$66=$BM$3),$G$66=$CA$94),CF94,IF(AND($C$66=$AH$5,OR($L$66=$BM$3),$G$66=$CA$95),CF95,IF(AND($C$66=$AH$5,OR($L$66=$BM$3),$G$66=$CA$96),CF96,IF(AND($C$66=$AH$5,OR($L$66=$BM$3),$G$66=$CA$97),CF97,IF(AND($C$66=$AH$5,OR($L$66=$BM$3),$G$66=$CA$98),CF98,IF(AND($C$66=$AH$5,OR($L$66=$BM$3),$G$66=$CA$99),CF99,IF(AND($C$66=$AH$5,OR($L$66=$BM$3),$G$66=$CA$100),CF100,IF(AND($C$66=$AH$5,OR($L$66=$BM$3),$G$66=$CA$101),CF101,IF(AND($C$66=$AH$5,OR($L$66=$BM$3),$G$66=$CA$102),CF102,IF(AND($C$66=$AH$5,OR($L$66=$BM$3),$G$66=$CA$103),CF103,IF(AND($C$66=$AH$5,OR($L$66=$BM$3),$G$66=$CA$104),CF104,IF(AND($C$66=$AH$5,OR($L$66=$BM$3),$G$66=$CA$105),CF105,0))))))))))))))))))</f>
        <v>0</v>
      </c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6"/>
      <c r="CA28" s="395" t="s">
        <v>803</v>
      </c>
      <c r="CB28" s="394" t="s">
        <v>847</v>
      </c>
      <c r="CC28" s="395" t="s">
        <v>1573</v>
      </c>
      <c r="CD28" s="394"/>
      <c r="CE28" s="394" t="s">
        <v>1574</v>
      </c>
      <c r="CF28" s="394" t="s">
        <v>1575</v>
      </c>
      <c r="CG28" s="233"/>
      <c r="CH28" s="233"/>
      <c r="CI28" s="233"/>
      <c r="CJ28" s="233"/>
      <c r="CK28" s="233"/>
      <c r="CL28" s="233"/>
      <c r="CM28" s="233"/>
      <c r="CN28" s="361" t="str">
        <f t="shared" si="2"/>
        <v xml:space="preserve"> </v>
      </c>
      <c r="CO28" s="361" t="str">
        <f t="shared" si="3"/>
        <v xml:space="preserve"> </v>
      </c>
      <c r="CP28" s="361" t="str">
        <f t="shared" si="4"/>
        <v xml:space="preserve"> </v>
      </c>
      <c r="CQ28" s="361" t="str">
        <f t="shared" si="5"/>
        <v xml:space="preserve"> </v>
      </c>
      <c r="CR28" s="361" t="str">
        <f t="shared" si="6"/>
        <v xml:space="preserve"> </v>
      </c>
      <c r="CS28" s="233" t="s">
        <v>926</v>
      </c>
      <c r="CT28" s="233"/>
      <c r="CU28" s="233"/>
      <c r="CV28" s="233" t="s">
        <v>926</v>
      </c>
      <c r="CW28" s="233"/>
      <c r="CX28" s="233"/>
      <c r="CY28" s="339" t="s">
        <v>1444</v>
      </c>
      <c r="CZ28" s="233"/>
      <c r="DA28" s="233" t="s">
        <v>923</v>
      </c>
      <c r="DB28" s="233"/>
      <c r="DC28" s="233" t="s">
        <v>978</v>
      </c>
      <c r="DD28" s="233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421" t="s">
        <v>1641</v>
      </c>
      <c r="DT28" s="422">
        <v>1470</v>
      </c>
      <c r="DU28" s="420">
        <v>2</v>
      </c>
      <c r="DV28" s="420">
        <v>40</v>
      </c>
      <c r="DW28" s="420">
        <v>3</v>
      </c>
      <c r="DX28" s="420"/>
      <c r="DY28" s="420">
        <v>47</v>
      </c>
      <c r="DZ28" s="420" t="s">
        <v>1169</v>
      </c>
      <c r="EA28" s="29">
        <v>21</v>
      </c>
      <c r="EB28" s="413" t="str">
        <f>DS27</f>
        <v>Mercenary Medium</v>
      </c>
      <c r="EC28" s="432">
        <f>DU27</f>
        <v>2</v>
      </c>
      <c r="ED28" s="432">
        <f t="shared" ref="ED28:EG28" si="35">DV27</f>
        <v>35</v>
      </c>
      <c r="EE28" s="432">
        <f t="shared" si="35"/>
        <v>3</v>
      </c>
      <c r="EF28" s="432" t="str">
        <f t="shared" si="35"/>
        <v>C; A</v>
      </c>
      <c r="EG28" s="432">
        <f t="shared" si="35"/>
        <v>50</v>
      </c>
      <c r="EH28" s="97">
        <f t="shared" ref="EH28:EH36" si="36">IF($AB$27=EB28,EC28,0)</f>
        <v>0</v>
      </c>
      <c r="EI28" s="97">
        <f t="shared" ref="EI28:EI36" si="37">IF($AB$27=EB28,ED28,0)</f>
        <v>0</v>
      </c>
      <c r="EJ28" s="97">
        <f t="shared" ref="EJ28:EJ36" si="38">IF($AB$27=EB28,EE28,0)</f>
        <v>0</v>
      </c>
      <c r="EK28" s="97">
        <f t="shared" ref="EK28:EK36" si="39">IF($AB$27=EB28,EF28,0)</f>
        <v>0</v>
      </c>
      <c r="EL28" s="97">
        <f t="shared" ref="EL28:EL36" si="40">IF($AB$27=EB28,EG28,0)</f>
        <v>0</v>
      </c>
      <c r="EM28" s="29"/>
      <c r="EN28" s="29"/>
      <c r="EO28" s="29"/>
      <c r="EP28" s="29"/>
      <c r="EQ28" s="29"/>
      <c r="ER28" s="29"/>
      <c r="ES28" s="29"/>
      <c r="ET28" s="417" t="str">
        <f>IF($Y$27="Medium",EB51,IF($Y$27="Heavy",EB78," "))</f>
        <v xml:space="preserve"> </v>
      </c>
      <c r="EU28" s="29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</row>
    <row r="29" spans="1:168" ht="15.95" customHeight="1" x14ac:dyDescent="0.25">
      <c r="A29" s="529" t="s">
        <v>142</v>
      </c>
      <c r="B29" s="529"/>
      <c r="C29" s="529"/>
      <c r="D29" s="529"/>
      <c r="E29" s="529"/>
      <c r="F29" s="529"/>
      <c r="G29" s="529"/>
      <c r="H29" s="529"/>
      <c r="I29" s="529"/>
      <c r="J29" s="529"/>
      <c r="K29" s="529"/>
      <c r="L29" s="529"/>
      <c r="M29" s="32"/>
      <c r="N29" s="29"/>
      <c r="O29" s="543"/>
      <c r="P29" s="543"/>
      <c r="Q29" s="29"/>
      <c r="R29" s="530"/>
      <c r="S29" s="530"/>
      <c r="T29" s="530"/>
      <c r="U29" s="29"/>
      <c r="V29" s="564" t="str">
        <f>IF(Z23-R29&gt;0,Z23-R29,"GONE")</f>
        <v>GONE</v>
      </c>
      <c r="W29" s="29"/>
      <c r="X29" s="608" t="s">
        <v>1270</v>
      </c>
      <c r="Y29" s="614"/>
      <c r="Z29" s="615"/>
      <c r="AA29" s="615"/>
      <c r="AB29" s="615"/>
      <c r="AC29" s="616"/>
      <c r="AD29" s="300" t="s">
        <v>1261</v>
      </c>
      <c r="AE29" s="488"/>
      <c r="AF29" s="489"/>
      <c r="AG29" s="29"/>
      <c r="AH29" s="29" t="s">
        <v>1516</v>
      </c>
      <c r="AI29" s="29" t="s">
        <v>167</v>
      </c>
      <c r="AJ29" s="29"/>
      <c r="AK29" s="29"/>
      <c r="AL29" s="29">
        <v>1</v>
      </c>
      <c r="AM29" s="376" t="str">
        <f t="shared" ref="AM29:AM38" si="41">IF($C$54=$AH$1,AT3,IF($C$54=$AH$2,AT34,IF($C$54=$AH$3,AT68,IF($C$54=$AH$4,AT99,IF($C$54=$AH$5,AT130,IF($C$54=$AH$6,AT161,IF($C$54=$AH$7,"Ranged Touch"," ")))))))</f>
        <v xml:space="preserve"> </v>
      </c>
      <c r="AN29" s="29"/>
      <c r="AO29" s="386" t="s">
        <v>202</v>
      </c>
      <c r="AP29" s="468">
        <f>IF(C54=$AH$1,AY27,IF(C54=$AH$2,AY61,IF(C54=$AH$3,AY92,IF(C54=$AH$4,AY123,IF(C54=$AH$5,AY154,IF(C54=$AH$6,AY185,0))))))</f>
        <v>0</v>
      </c>
      <c r="AQ29" s="468"/>
      <c r="AR29" s="29"/>
      <c r="AS29" s="29" t="s">
        <v>1565</v>
      </c>
      <c r="AT29" s="371" t="str">
        <f>IF($C$78=$AH$1,$G$78," ")</f>
        <v xml:space="preserve"> </v>
      </c>
      <c r="AU29" s="371">
        <f t="shared" ref="AU29:BF29" si="42">IF($AT$29=$AT$3,AU3,IF($AT$29=$AT$4,AU4,IF($AT$29=$AT$5,AU5,IF($AT$29=$AT$6,AU6,IF($AT$29=$AT$7,AU7,IF($AT$29=$AT$8,AU8,IF($AT$29=$AT$9,AU9,IF($AT$29=$AT$10,AU10,IF($AT$29=$AT$11,AU11,IF($AT$29=$AT$12,AU12,IF($AT$29=$AT$14,AU14,IF($AT$29=$AT$15,AU15,IF($AT$29=$AT$16,AU16,0)))))))))))))</f>
        <v>0</v>
      </c>
      <c r="AV29" s="371">
        <f t="shared" si="42"/>
        <v>0</v>
      </c>
      <c r="AW29" s="371">
        <f t="shared" si="42"/>
        <v>0</v>
      </c>
      <c r="AX29" s="371">
        <f t="shared" si="42"/>
        <v>0</v>
      </c>
      <c r="AY29" s="371">
        <f t="shared" si="42"/>
        <v>0</v>
      </c>
      <c r="AZ29" s="371">
        <f t="shared" si="42"/>
        <v>0</v>
      </c>
      <c r="BA29" s="371">
        <f t="shared" si="42"/>
        <v>0</v>
      </c>
      <c r="BB29" s="371">
        <f t="shared" si="42"/>
        <v>0</v>
      </c>
      <c r="BC29" s="371">
        <f t="shared" si="42"/>
        <v>0</v>
      </c>
      <c r="BD29" s="371">
        <f t="shared" si="42"/>
        <v>0</v>
      </c>
      <c r="BE29" s="371">
        <f t="shared" si="42"/>
        <v>0</v>
      </c>
      <c r="BF29" s="371">
        <f t="shared" si="42"/>
        <v>0</v>
      </c>
      <c r="BG29" s="29"/>
      <c r="BH29" s="29"/>
      <c r="BI29" s="409" t="s">
        <v>1581</v>
      </c>
      <c r="BJ29" s="383">
        <f>IF(BJ24&gt;0,BJ24,IF(BJ25&gt;0,BJ25,IF(BJ26&gt;0,BJ26,IF(BJ27&gt;0,BJ27,IF(BJ28&gt;0,BJ28,0)))))</f>
        <v>0</v>
      </c>
      <c r="BK29" s="383">
        <f>IF(BK24&gt;0,BK24,IF(BK25&gt;0,BK25,IF(BK26&gt;0,BK26,IF(BK27&gt;0,BK27,IF(BK28&gt;0,BK28,0)))))</f>
        <v>0</v>
      </c>
      <c r="BL29" s="383">
        <f>IF(BL24&gt;0,BL24,IF(BL25&gt;0,BL25,IF(BL26&gt;0,BL26,IF(BL27&gt;0,BL27,IF(BL28&gt;0,BL28,0)))))</f>
        <v>0</v>
      </c>
      <c r="BM29" s="383">
        <f>IF(BM24&gt;0,BM24,IF(BM25&gt;0,BM25,IF(BM26&gt;0,BM26,IF(BM27&gt;0,BM27,IF(BM28&gt;0,BM28,0)))))</f>
        <v>0</v>
      </c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6"/>
      <c r="CA29" s="395" t="s">
        <v>804</v>
      </c>
      <c r="CB29" s="394" t="s">
        <v>847</v>
      </c>
      <c r="CC29" s="395" t="s">
        <v>1573</v>
      </c>
      <c r="CD29" s="394"/>
      <c r="CE29" s="394" t="s">
        <v>1574</v>
      </c>
      <c r="CF29" s="394" t="s">
        <v>1575</v>
      </c>
      <c r="CG29" s="233"/>
      <c r="CH29" s="233"/>
      <c r="CI29" s="233"/>
      <c r="CJ29" s="233"/>
      <c r="CK29" s="233"/>
      <c r="CL29" s="233"/>
      <c r="CM29" s="233"/>
      <c r="CN29" s="361" t="str">
        <f t="shared" si="2"/>
        <v xml:space="preserve"> </v>
      </c>
      <c r="CO29" s="361" t="str">
        <f t="shared" si="3"/>
        <v xml:space="preserve"> </v>
      </c>
      <c r="CP29" s="361" t="str">
        <f t="shared" si="4"/>
        <v xml:space="preserve"> </v>
      </c>
      <c r="CQ29" s="361" t="str">
        <f t="shared" si="5"/>
        <v xml:space="preserve"> </v>
      </c>
      <c r="CR29" s="361" t="str">
        <f t="shared" si="6"/>
        <v xml:space="preserve"> </v>
      </c>
      <c r="CS29" s="233" t="s">
        <v>927</v>
      </c>
      <c r="CT29" s="233"/>
      <c r="CU29" s="233"/>
      <c r="CV29" s="233" t="s">
        <v>927</v>
      </c>
      <c r="CW29" s="233"/>
      <c r="CX29" s="233"/>
      <c r="CY29" s="339" t="s">
        <v>1445</v>
      </c>
      <c r="CZ29" s="233"/>
      <c r="DA29" s="233" t="s">
        <v>924</v>
      </c>
      <c r="DB29" s="233"/>
      <c r="DC29" s="233" t="s">
        <v>979</v>
      </c>
      <c r="DD29" s="233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421" t="s">
        <v>1642</v>
      </c>
      <c r="DT29" s="422">
        <v>2580</v>
      </c>
      <c r="DU29" s="420">
        <v>2</v>
      </c>
      <c r="DV29" s="420">
        <v>45</v>
      </c>
      <c r="DW29" s="420">
        <v>3</v>
      </c>
      <c r="DX29" s="420" t="s">
        <v>1170</v>
      </c>
      <c r="DY29" s="420">
        <v>48</v>
      </c>
      <c r="DZ29" s="420" t="s">
        <v>1156</v>
      </c>
      <c r="EA29" s="29">
        <v>22</v>
      </c>
      <c r="EB29" s="413" t="str">
        <f t="shared" ref="EB29:EB36" si="43">DS28</f>
        <v>Agent Medium</v>
      </c>
      <c r="EC29" s="432">
        <f t="shared" ref="EC29:EC36" si="44">DU28</f>
        <v>2</v>
      </c>
      <c r="ED29" s="432">
        <f t="shared" ref="ED29:ED36" si="45">DV28</f>
        <v>40</v>
      </c>
      <c r="EE29" s="432">
        <f t="shared" ref="EE29:EE36" si="46">DW28</f>
        <v>3</v>
      </c>
      <c r="EF29" s="432">
        <f t="shared" ref="EF29:EF36" si="47">DX28</f>
        <v>0</v>
      </c>
      <c r="EG29" s="432">
        <f t="shared" ref="EG29:EG36" si="48">DY28</f>
        <v>47</v>
      </c>
      <c r="EH29" s="97">
        <f t="shared" si="36"/>
        <v>0</v>
      </c>
      <c r="EI29" s="97">
        <f t="shared" si="37"/>
        <v>0</v>
      </c>
      <c r="EJ29" s="97">
        <f t="shared" si="38"/>
        <v>0</v>
      </c>
      <c r="EK29" s="97">
        <f t="shared" si="39"/>
        <v>0</v>
      </c>
      <c r="EL29" s="97">
        <f t="shared" si="40"/>
        <v>0</v>
      </c>
      <c r="EM29" s="29"/>
      <c r="EN29" s="29"/>
      <c r="EO29" s="29"/>
      <c r="EP29" s="29"/>
      <c r="EQ29" s="29"/>
      <c r="ER29" s="29"/>
      <c r="ES29" s="29"/>
      <c r="ET29" s="417" t="str">
        <f>IF($Y$27="Medium",EB52," ")</f>
        <v xml:space="preserve"> </v>
      </c>
      <c r="EU29" s="29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</row>
    <row r="30" spans="1:168" ht="15.95" customHeight="1" x14ac:dyDescent="0.25">
      <c r="A30" s="559" t="s">
        <v>43</v>
      </c>
      <c r="B30" s="559"/>
      <c r="C30" s="559"/>
      <c r="D30" s="559"/>
      <c r="E30" s="559"/>
      <c r="F30" s="559"/>
      <c r="G30" s="559"/>
      <c r="H30" s="559"/>
      <c r="I30" s="559"/>
      <c r="J30" s="559"/>
      <c r="K30" s="559"/>
      <c r="L30" s="559"/>
      <c r="M30" s="29"/>
      <c r="N30" s="29"/>
      <c r="O30" s="543"/>
      <c r="P30" s="543"/>
      <c r="Q30" s="29"/>
      <c r="R30" s="530"/>
      <c r="S30" s="530"/>
      <c r="T30" s="530"/>
      <c r="U30" s="29"/>
      <c r="V30" s="564"/>
      <c r="W30" s="30"/>
      <c r="X30" s="608"/>
      <c r="Y30" s="617"/>
      <c r="Z30" s="618"/>
      <c r="AA30" s="618"/>
      <c r="AB30" s="618"/>
      <c r="AC30" s="619"/>
      <c r="AD30" s="300" t="s">
        <v>1272</v>
      </c>
      <c r="AE30" s="488"/>
      <c r="AF30" s="489"/>
      <c r="AG30" s="29"/>
      <c r="AH30" s="29"/>
      <c r="AI30" s="29" t="s">
        <v>1208</v>
      </c>
      <c r="AJ30" s="29"/>
      <c r="AK30" s="29"/>
      <c r="AL30" s="29">
        <v>2</v>
      </c>
      <c r="AM30" s="376" t="str">
        <f t="shared" si="41"/>
        <v xml:space="preserve"> </v>
      </c>
      <c r="AN30" s="29"/>
      <c r="AO30" s="386" t="s">
        <v>420</v>
      </c>
      <c r="AP30" s="468">
        <f>IF(C54=$AH$1,AZ27,IF(C54=$AH$2,AZ61,IF(C54=$AH$3,AZ92,IF(C54=$AH$4,AZ123,IF(C54=$AH$5,AZ154,IF(C54=$AH$6,AZ185,0))))))</f>
        <v>0</v>
      </c>
      <c r="AQ30" s="468"/>
      <c r="AR30" s="29"/>
      <c r="AS30" s="29" t="s">
        <v>1566</v>
      </c>
      <c r="AT30" s="371" t="str">
        <f>IF($C$90=$AH$1,$G$90," ")</f>
        <v xml:space="preserve"> </v>
      </c>
      <c r="AU30" s="371">
        <f t="shared" ref="AU30:BF30" si="49">IF($AT$30=$AT$3,AU3,IF($AT$30=$AT$4,AU4,IF($AT$30=$AT$5,AU5,IF($AT$30=$AT$6,AU6,IF($AT$30=$AT$7,AU7,IF($AT$30=$AT$8,AU8,IF($AT$30=$AT$9,AU9,IF($AT$30=$AT$10,AU10,IF($AT$30=$AT$11,AU11,IF($AT$30=$AT$12,AU12,IF($AT$30=$AT$14,AU14,IF($AT$30=$AT$15,AU15,IF($AT$30=$AT$16,AU16,0)))))))))))))</f>
        <v>0</v>
      </c>
      <c r="AV30" s="371">
        <f t="shared" si="49"/>
        <v>0</v>
      </c>
      <c r="AW30" s="371">
        <f t="shared" si="49"/>
        <v>0</v>
      </c>
      <c r="AX30" s="371">
        <f t="shared" si="49"/>
        <v>0</v>
      </c>
      <c r="AY30" s="371">
        <f t="shared" si="49"/>
        <v>0</v>
      </c>
      <c r="AZ30" s="371">
        <f t="shared" si="49"/>
        <v>0</v>
      </c>
      <c r="BA30" s="371">
        <f t="shared" si="49"/>
        <v>0</v>
      </c>
      <c r="BB30" s="371">
        <f t="shared" si="49"/>
        <v>0</v>
      </c>
      <c r="BC30" s="371">
        <f t="shared" si="49"/>
        <v>0</v>
      </c>
      <c r="BD30" s="371">
        <f t="shared" si="49"/>
        <v>0</v>
      </c>
      <c r="BE30" s="371">
        <f t="shared" si="49"/>
        <v>0</v>
      </c>
      <c r="BF30" s="371">
        <f t="shared" si="49"/>
        <v>0</v>
      </c>
      <c r="BG30" s="29"/>
      <c r="BH30" s="29"/>
      <c r="BI30" s="409"/>
      <c r="BJ30" s="409"/>
      <c r="BK30" s="409"/>
      <c r="BL30" s="409"/>
      <c r="BM30" s="409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6"/>
      <c r="CA30" s="395" t="s">
        <v>805</v>
      </c>
      <c r="CB30" s="394" t="s">
        <v>847</v>
      </c>
      <c r="CC30" s="395" t="s">
        <v>1573</v>
      </c>
      <c r="CD30" s="394"/>
      <c r="CE30" s="394" t="s">
        <v>1574</v>
      </c>
      <c r="CF30" s="394" t="s">
        <v>1575</v>
      </c>
      <c r="CG30" s="233"/>
      <c r="CH30" s="233"/>
      <c r="CI30" s="233"/>
      <c r="CJ30" s="233"/>
      <c r="CK30" s="233"/>
      <c r="CL30" s="233"/>
      <c r="CM30" s="233"/>
      <c r="CN30" s="361" t="str">
        <f t="shared" si="2"/>
        <v xml:space="preserve"> </v>
      </c>
      <c r="CO30" s="361" t="str">
        <f t="shared" si="3"/>
        <v xml:space="preserve"> </v>
      </c>
      <c r="CP30" s="361" t="str">
        <f t="shared" si="4"/>
        <v xml:space="preserve"> </v>
      </c>
      <c r="CQ30" s="361" t="str">
        <f t="shared" si="5"/>
        <v xml:space="preserve"> </v>
      </c>
      <c r="CR30" s="361" t="str">
        <f t="shared" si="6"/>
        <v xml:space="preserve"> </v>
      </c>
      <c r="CS30" s="233" t="s">
        <v>928</v>
      </c>
      <c r="CT30" s="233"/>
      <c r="CU30" s="233"/>
      <c r="CV30" s="233" t="s">
        <v>928</v>
      </c>
      <c r="CW30" s="233"/>
      <c r="CX30" s="233"/>
      <c r="CY30" s="233" t="s">
        <v>952</v>
      </c>
      <c r="CZ30" s="233"/>
      <c r="DA30" s="233" t="s">
        <v>925</v>
      </c>
      <c r="DB30" s="233"/>
      <c r="DC30" s="233" t="s">
        <v>980</v>
      </c>
      <c r="DD30" s="233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419" t="s">
        <v>1643</v>
      </c>
      <c r="DT30" s="422">
        <v>4085</v>
      </c>
      <c r="DU30" s="420">
        <v>3</v>
      </c>
      <c r="DV30" s="420">
        <v>0</v>
      </c>
      <c r="DW30" s="420">
        <v>4</v>
      </c>
      <c r="DX30" s="423" t="s">
        <v>1159</v>
      </c>
      <c r="DY30" s="420">
        <v>45</v>
      </c>
      <c r="DZ30" s="420" t="s">
        <v>1601</v>
      </c>
      <c r="EA30" s="29">
        <v>23</v>
      </c>
      <c r="EB30" s="413" t="str">
        <f t="shared" si="43"/>
        <v>Onyx Medium</v>
      </c>
      <c r="EC30" s="432">
        <f t="shared" si="44"/>
        <v>2</v>
      </c>
      <c r="ED30" s="432">
        <f t="shared" si="45"/>
        <v>45</v>
      </c>
      <c r="EE30" s="432">
        <f t="shared" si="46"/>
        <v>3</v>
      </c>
      <c r="EF30" s="432" t="str">
        <f t="shared" si="47"/>
        <v>C; A; L</v>
      </c>
      <c r="EG30" s="432">
        <f t="shared" si="48"/>
        <v>48</v>
      </c>
      <c r="EH30" s="97">
        <f t="shared" si="36"/>
        <v>0</v>
      </c>
      <c r="EI30" s="97">
        <f t="shared" si="37"/>
        <v>0</v>
      </c>
      <c r="EJ30" s="97">
        <f t="shared" si="38"/>
        <v>0</v>
      </c>
      <c r="EK30" s="97">
        <f t="shared" si="39"/>
        <v>0</v>
      </c>
      <c r="EL30" s="97">
        <f t="shared" si="40"/>
        <v>0</v>
      </c>
      <c r="EM30" s="29"/>
      <c r="EN30" s="29"/>
      <c r="EO30" s="29"/>
      <c r="EP30" s="29"/>
      <c r="EQ30" s="29"/>
      <c r="ER30" s="29"/>
      <c r="ES30" s="29"/>
      <c r="ET30" s="29"/>
      <c r="EU30" s="29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</row>
    <row r="31" spans="1:168" s="2" customFormat="1" ht="15.95" customHeight="1" thickBot="1" x14ac:dyDescent="0.3">
      <c r="A31" s="81" t="s">
        <v>43</v>
      </c>
      <c r="B31" s="49">
        <f>10+F31+H31+J31+L31+IF('Combat Powers'!$U$54="Yes",$N$12,0)</f>
        <v>5</v>
      </c>
      <c r="C31" s="50" t="s">
        <v>6</v>
      </c>
      <c r="D31" s="51">
        <v>10</v>
      </c>
      <c r="E31" s="50" t="s">
        <v>7</v>
      </c>
      <c r="F31" s="49">
        <f>N8</f>
        <v>-5</v>
      </c>
      <c r="G31" s="50" t="s">
        <v>7</v>
      </c>
      <c r="H31" s="49">
        <f>IF(B2="Fine",8,IF(B2="Diminutive",4,IF(B2="Tiny", 2,IF(B2="Small",1,IF(B2="Medium",0,IF(B2="Large",-1,IF(B2="Huge",-2,IF(B2="Gargantuan",-4,IF(B2="Colossal",-8,0)))))))))+ROUNDDOWN(D44/3,0)+IF(D44=20,1,0)+IF(AE2="Medium",-1,IF(AE2="Heavy",-2,0))</f>
        <v>0</v>
      </c>
      <c r="I31" s="50" t="s">
        <v>7</v>
      </c>
      <c r="J31" s="332"/>
      <c r="K31" s="50" t="s">
        <v>7</v>
      </c>
      <c r="L31" s="332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3"/>
      <c r="X31" s="608"/>
      <c r="Y31" s="617"/>
      <c r="Z31" s="618"/>
      <c r="AA31" s="618"/>
      <c r="AB31" s="618"/>
      <c r="AC31" s="619"/>
      <c r="AD31" s="455" t="s">
        <v>1272</v>
      </c>
      <c r="AE31" s="488"/>
      <c r="AF31" s="489"/>
      <c r="AG31" s="29"/>
      <c r="AH31" s="29"/>
      <c r="AI31" s="29" t="s">
        <v>1209</v>
      </c>
      <c r="AJ31" s="29"/>
      <c r="AK31" s="29"/>
      <c r="AL31" s="29">
        <v>3</v>
      </c>
      <c r="AM31" s="376" t="str">
        <f t="shared" si="41"/>
        <v xml:space="preserve"> </v>
      </c>
      <c r="AN31" s="29"/>
      <c r="AO31" s="386" t="s">
        <v>421</v>
      </c>
      <c r="AP31" s="468">
        <f>IF(C54=$AH$1,BA27,IF(C54=$AH$2,BA61,IF(C54=$AH$3,BA92,IF(C54=$AH$4,BA123,IF(C54=$AH$5,BA154,IF(C54=$AH$6,BA185,0))))))+IF(BJ19="RoF +1",1,0)+IF(BK19="RoF +1",1,0)+IF(BL19="RoF +1",1,0)+IF(BM19="RoF +1",1,0)+IF(OR(N54="Heat Sink",N54=CV15),1,0)+IF(OR(S54="Heat Sink",S54=CV15),1,0)+IF(OR(W54="Heat Sink",W54=CV15),1,0)+IF(N54=CV16,2,0)+IF(S54=CV16,2,0)+IF(W54=CV16,2,0)+IF(N54=CV17,3,0)+IF(S54=CV17,3,0)+IF(W54=CV17,3,0)+IF(N54=CV18,-1,0)+IF(S54=CV18,-1,0)+IF(W54=CV18,-1,0)+IF(N54=CV19,-1,0)+IF(S54=CV19,-1,0)+IF(W54=CV19,-1,0)+IF(N54=CS23,-1,0)+IF(S54=CS23,-1,0)+IF(W54=CS23,-1,0)+IF(N54=CY23,-2,0)+IF(S54=CY23,-2,0)+IF(W54=CY23,-2,0)+IF(N54=CY20,1,0)+IF(S54=CY20,1,0)+IF(W54=CY20,1,0)+IF(N54=CS31,-3,0)+IF(S54=CS31,-3,0)+IF(W54=CS31,-3,0)</f>
        <v>0</v>
      </c>
      <c r="AQ31" s="468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409"/>
      <c r="BJ31" s="409"/>
      <c r="BK31" s="409"/>
      <c r="BL31" s="409"/>
      <c r="BM31" s="409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6"/>
      <c r="CA31" s="395" t="s">
        <v>806</v>
      </c>
      <c r="CB31" s="394" t="s">
        <v>847</v>
      </c>
      <c r="CC31" s="395" t="s">
        <v>1573</v>
      </c>
      <c r="CD31" s="394"/>
      <c r="CE31" s="394" t="s">
        <v>1574</v>
      </c>
      <c r="CF31" s="394" t="s">
        <v>1575</v>
      </c>
      <c r="CG31" s="233"/>
      <c r="CH31" s="233"/>
      <c r="CI31" s="233"/>
      <c r="CJ31" s="233"/>
      <c r="CK31" s="233"/>
      <c r="CL31" s="233"/>
      <c r="CM31" s="233"/>
      <c r="CN31" s="361" t="str">
        <f t="shared" si="2"/>
        <v xml:space="preserve"> </v>
      </c>
      <c r="CO31" s="361" t="str">
        <f t="shared" si="3"/>
        <v xml:space="preserve"> </v>
      </c>
      <c r="CP31" s="361" t="str">
        <f t="shared" si="4"/>
        <v xml:space="preserve"> </v>
      </c>
      <c r="CQ31" s="361" t="str">
        <f t="shared" si="5"/>
        <v xml:space="preserve"> </v>
      </c>
      <c r="CR31" s="361" t="str">
        <f t="shared" si="6"/>
        <v xml:space="preserve"> </v>
      </c>
      <c r="CS31" s="233" t="s">
        <v>1587</v>
      </c>
      <c r="CT31" s="233"/>
      <c r="CU31" s="233"/>
      <c r="CV31" s="233" t="s">
        <v>1587</v>
      </c>
      <c r="CW31" s="233"/>
      <c r="CX31" s="233"/>
      <c r="CY31" s="233" t="s">
        <v>953</v>
      </c>
      <c r="CZ31" s="233"/>
      <c r="DA31" s="233" t="s">
        <v>926</v>
      </c>
      <c r="DB31" s="233"/>
      <c r="DC31" s="233" t="s">
        <v>981</v>
      </c>
      <c r="DD31" s="233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421" t="s">
        <v>1644</v>
      </c>
      <c r="DT31" s="422">
        <v>4645</v>
      </c>
      <c r="DU31" s="420">
        <v>2</v>
      </c>
      <c r="DV31" s="420">
        <v>50</v>
      </c>
      <c r="DW31" s="420">
        <v>4</v>
      </c>
      <c r="DX31" s="420"/>
      <c r="DY31" s="420">
        <v>45</v>
      </c>
      <c r="DZ31" s="420" t="s">
        <v>1171</v>
      </c>
      <c r="EA31" s="29">
        <v>24</v>
      </c>
      <c r="EB31" s="413" t="str">
        <f t="shared" si="43"/>
        <v>Maverick Medium</v>
      </c>
      <c r="EC31" s="432">
        <f t="shared" si="44"/>
        <v>3</v>
      </c>
      <c r="ED31" s="432">
        <f t="shared" si="45"/>
        <v>0</v>
      </c>
      <c r="EE31" s="432">
        <f t="shared" si="46"/>
        <v>4</v>
      </c>
      <c r="EF31" s="432" t="str">
        <f t="shared" si="47"/>
        <v>V; C; S; A; L</v>
      </c>
      <c r="EG31" s="432">
        <f t="shared" si="48"/>
        <v>45</v>
      </c>
      <c r="EH31" s="97">
        <f t="shared" si="36"/>
        <v>0</v>
      </c>
      <c r="EI31" s="97">
        <f t="shared" si="37"/>
        <v>0</v>
      </c>
      <c r="EJ31" s="97">
        <f t="shared" si="38"/>
        <v>0</v>
      </c>
      <c r="EK31" s="97">
        <f t="shared" si="39"/>
        <v>0</v>
      </c>
      <c r="EL31" s="97">
        <f t="shared" si="40"/>
        <v>0</v>
      </c>
      <c r="EM31" s="29"/>
      <c r="EN31" s="29"/>
      <c r="EO31" s="29"/>
      <c r="EP31" s="29"/>
      <c r="EQ31" s="29"/>
      <c r="ER31" s="29"/>
      <c r="ES31" s="29"/>
      <c r="ET31" s="29"/>
      <c r="EU31" s="29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</row>
    <row r="32" spans="1:168" ht="18" customHeight="1" thickBot="1" x14ac:dyDescent="0.3">
      <c r="A32" s="104"/>
      <c r="B32" s="98" t="s">
        <v>1</v>
      </c>
      <c r="C32" s="98"/>
      <c r="D32" s="98"/>
      <c r="E32" s="98"/>
      <c r="F32" s="98" t="s">
        <v>9</v>
      </c>
      <c r="G32" s="98"/>
      <c r="H32" s="98" t="s">
        <v>1512</v>
      </c>
      <c r="I32" s="98"/>
      <c r="J32" s="133" t="s">
        <v>384</v>
      </c>
      <c r="K32" s="133"/>
      <c r="L32" s="133" t="s">
        <v>385</v>
      </c>
      <c r="M32" s="29"/>
      <c r="N32" s="29"/>
      <c r="O32" s="583" t="s">
        <v>985</v>
      </c>
      <c r="P32" s="584"/>
      <c r="Q32" s="29"/>
      <c r="R32" s="555" t="s">
        <v>41</v>
      </c>
      <c r="S32" s="555"/>
      <c r="T32" s="555"/>
      <c r="U32" s="29"/>
      <c r="V32" s="576" t="s">
        <v>42</v>
      </c>
      <c r="W32" s="33"/>
      <c r="X32" s="608"/>
      <c r="Y32" s="617"/>
      <c r="Z32" s="618"/>
      <c r="AA32" s="618"/>
      <c r="AB32" s="618"/>
      <c r="AC32" s="619"/>
      <c r="AD32" s="608" t="s">
        <v>1273</v>
      </c>
      <c r="AE32" s="608"/>
      <c r="AF32" s="331"/>
      <c r="AG32" s="29"/>
      <c r="AH32" s="29"/>
      <c r="AI32" s="29" t="s">
        <v>1210</v>
      </c>
      <c r="AJ32" s="29"/>
      <c r="AK32" s="29"/>
      <c r="AL32" s="29">
        <v>4</v>
      </c>
      <c r="AM32" s="376" t="str">
        <f t="shared" si="41"/>
        <v xml:space="preserve"> </v>
      </c>
      <c r="AN32" s="29"/>
      <c r="AO32" s="386" t="s">
        <v>190</v>
      </c>
      <c r="AP32" s="468">
        <f>IF(C54=$AH$1,BB27,IF(C54=$AH$2,BB61,IF(C54=$AH$3,BB92,IF(C54=$AH$4,BB123,IF(C54=$AH$5,BB154,IF(C54=$AH$6,BB185,0))))))</f>
        <v>0</v>
      </c>
      <c r="AQ32" s="468"/>
      <c r="AR32" s="29"/>
      <c r="AS32" s="29"/>
      <c r="AT32" s="375" t="s">
        <v>1537</v>
      </c>
      <c r="AU32" s="490" t="s">
        <v>467</v>
      </c>
      <c r="AV32" s="490"/>
      <c r="AW32" s="490" t="s">
        <v>1544</v>
      </c>
      <c r="AX32" s="490"/>
      <c r="AY32" s="375"/>
      <c r="AZ32" s="490" t="s">
        <v>1112</v>
      </c>
      <c r="BA32" s="490"/>
      <c r="BB32" s="375"/>
      <c r="BC32" s="491" t="s">
        <v>794</v>
      </c>
      <c r="BD32" s="375"/>
      <c r="BE32" s="490" t="s">
        <v>1001</v>
      </c>
      <c r="BF32" s="490"/>
      <c r="BG32" s="29"/>
      <c r="BH32" s="29"/>
      <c r="BI32" s="481" t="s">
        <v>874</v>
      </c>
      <c r="BJ32" s="481"/>
      <c r="BK32" s="481"/>
      <c r="BL32" s="481"/>
      <c r="BM32" s="481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6"/>
      <c r="CA32" s="395" t="s">
        <v>807</v>
      </c>
      <c r="CB32" s="394" t="s">
        <v>847</v>
      </c>
      <c r="CC32" s="395" t="s">
        <v>1573</v>
      </c>
      <c r="CD32" s="394"/>
      <c r="CE32" s="394" t="s">
        <v>1574</v>
      </c>
      <c r="CF32" s="394" t="s">
        <v>1575</v>
      </c>
      <c r="CG32" s="233"/>
      <c r="CH32" s="233"/>
      <c r="CI32" s="233"/>
      <c r="CJ32" s="233"/>
      <c r="CK32" s="233"/>
      <c r="CL32" s="233"/>
      <c r="CM32" s="233"/>
      <c r="CN32" s="361" t="str">
        <f t="shared" si="2"/>
        <v xml:space="preserve"> </v>
      </c>
      <c r="CO32" s="361" t="str">
        <f t="shared" si="3"/>
        <v xml:space="preserve"> </v>
      </c>
      <c r="CP32" s="361" t="str">
        <f t="shared" si="4"/>
        <v xml:space="preserve"> </v>
      </c>
      <c r="CQ32" s="361" t="str">
        <f t="shared" si="5"/>
        <v xml:space="preserve"> </v>
      </c>
      <c r="CR32" s="361" t="str">
        <f t="shared" si="6"/>
        <v xml:space="preserve"> </v>
      </c>
      <c r="CS32" s="233" t="s">
        <v>929</v>
      </c>
      <c r="CT32" s="233"/>
      <c r="CU32" s="233"/>
      <c r="CV32" s="233" t="s">
        <v>929</v>
      </c>
      <c r="CW32" s="233"/>
      <c r="CX32" s="233"/>
      <c r="CY32" s="233" t="s">
        <v>954</v>
      </c>
      <c r="CZ32" s="233"/>
      <c r="DA32" s="233" t="s">
        <v>927</v>
      </c>
      <c r="DB32" s="233"/>
      <c r="DC32" s="233" t="s">
        <v>982</v>
      </c>
      <c r="DD32" s="233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419" t="s">
        <v>1645</v>
      </c>
      <c r="DT32" s="424">
        <v>5520</v>
      </c>
      <c r="DU32" s="425">
        <v>2</v>
      </c>
      <c r="DV32" s="425">
        <v>45</v>
      </c>
      <c r="DW32" s="425">
        <v>3</v>
      </c>
      <c r="DX32" s="426" t="s">
        <v>1160</v>
      </c>
      <c r="DY32" s="425">
        <v>38</v>
      </c>
      <c r="DZ32" s="420" t="s">
        <v>1593</v>
      </c>
      <c r="EA32" s="29">
        <v>25</v>
      </c>
      <c r="EB32" s="413" t="str">
        <f t="shared" si="43"/>
        <v>Silverback Medium</v>
      </c>
      <c r="EC32" s="432">
        <f t="shared" si="44"/>
        <v>2</v>
      </c>
      <c r="ED32" s="432">
        <f t="shared" si="45"/>
        <v>50</v>
      </c>
      <c r="EE32" s="432">
        <f t="shared" si="46"/>
        <v>4</v>
      </c>
      <c r="EF32" s="432">
        <f t="shared" si="47"/>
        <v>0</v>
      </c>
      <c r="EG32" s="432">
        <f t="shared" si="48"/>
        <v>45</v>
      </c>
      <c r="EH32" s="97">
        <f t="shared" si="36"/>
        <v>0</v>
      </c>
      <c r="EI32" s="97">
        <f t="shared" si="37"/>
        <v>0</v>
      </c>
      <c r="EJ32" s="97">
        <f t="shared" si="38"/>
        <v>0</v>
      </c>
      <c r="EK32" s="97">
        <f t="shared" si="39"/>
        <v>0</v>
      </c>
      <c r="EL32" s="97">
        <f t="shared" si="40"/>
        <v>0</v>
      </c>
      <c r="EM32" s="29"/>
      <c r="EN32" s="29"/>
      <c r="EO32" s="29"/>
      <c r="EP32" s="29"/>
      <c r="EQ32" s="29"/>
      <c r="ER32" s="29"/>
      <c r="ES32" s="29"/>
      <c r="ET32" s="29"/>
      <c r="EU32" s="29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</row>
    <row r="33" spans="1:168" ht="15.95" customHeight="1" thickBot="1" x14ac:dyDescent="0.3">
      <c r="A33" s="29"/>
      <c r="B33" s="29"/>
      <c r="C33" s="29"/>
      <c r="D33" s="29"/>
      <c r="E33" s="50" t="s">
        <v>7</v>
      </c>
      <c r="F33" s="545"/>
      <c r="G33" s="612"/>
      <c r="H33" s="546"/>
      <c r="I33" s="50" t="s">
        <v>7</v>
      </c>
      <c r="J33" s="545"/>
      <c r="K33" s="612"/>
      <c r="L33" s="546"/>
      <c r="M33" s="29"/>
      <c r="N33" s="29"/>
      <c r="O33" s="585"/>
      <c r="P33" s="586"/>
      <c r="Q33" s="29"/>
      <c r="R33" s="555"/>
      <c r="S33" s="555"/>
      <c r="T33" s="555"/>
      <c r="U33" s="29"/>
      <c r="V33" s="576"/>
      <c r="W33" s="30"/>
      <c r="X33" s="608"/>
      <c r="Y33" s="620"/>
      <c r="Z33" s="621"/>
      <c r="AA33" s="621"/>
      <c r="AB33" s="621"/>
      <c r="AC33" s="622"/>
      <c r="AD33" s="608" t="s">
        <v>1422</v>
      </c>
      <c r="AE33" s="608"/>
      <c r="AF33" s="324">
        <f>(IF(EL4=" ",0,EL4)+AF32+IF(Z34=DW140,0,0)+IF(Z34=DW141,-1,0)+IF(Z34=DW142,0,0)+IF(Z34=DW143,-2,0)+IF(Z34=DW144,-1,0)+IF(Z34=DW145,-2,0)+IF(Z34=DW146,-2,0)+IF(Z34=DW147,-2,0)+IF(Z34=DW148,-1.5,0)+IF(Z34=DW149,-1,0)+IF(AC34=DW151,2,0)+IF(AC34=DW152,4,0)+IF(AC34=DW153,2,0)+IF(AC34=DW154,2,0)+IF(AC34=DW155,2,0)+IF(AE34=DW157,2,0)+IF(AE34=DW158,1,0)+IF(AE34=DW159,2,0)+IF(AE34=DW160,2,0)+IF(Z35=DW162,0,0)+IF(Z35=DW163,1,0)+IF(Z35=DW164,1,0)+IF(Z35=DW165,0,0)+IF(AC35=DW167,3,0)+IF(AC35=DW168,3,0)+IF(AC35=DW169,2,0)+IF(AC35=DW170,3,0)+IF(AE35=DW172,1,0)+IF(AE35=DW173,1,0)+IF(AE35=DW174,2,0)+IF(AE35=DW175,2,0)+IF(AE35=DW176,3,0))*(1+IF(AF27=EA68,-0.05,0)+IF(AF27=EA69,-0.1,0)+IF(AF27=EA70,-0.15,0)+IF(AF27=EA71,-0.2,0)+IF(AF27=EA72,-0.25,0)+IF(OR(AE29=DX103,AE30=DX103,AE31=DX103),0.25,0))*(IF(B2="Small",0.5,IF(B2="Large",2,1)))</f>
        <v>0</v>
      </c>
      <c r="AG33" s="29"/>
      <c r="AH33" s="29"/>
      <c r="AI33" s="29" t="s">
        <v>1211</v>
      </c>
      <c r="AJ33" s="29"/>
      <c r="AK33" s="29"/>
      <c r="AL33" s="29">
        <v>5</v>
      </c>
      <c r="AM33" s="376" t="str">
        <f t="shared" si="41"/>
        <v xml:space="preserve"> </v>
      </c>
      <c r="AN33" s="29"/>
      <c r="AO33" s="386" t="s">
        <v>191</v>
      </c>
      <c r="AP33" s="468">
        <f>ROUND((IF(C54=$AH$1,BC27,IF(C54=$AH$2,BC61,IF(C54=$AH$3,BC92,IF(C54=$AH$4,BC123,IF(C54=$AH$5,BC154,IF(C54=$AH$6,BC185,0))))))+IF(BJ19="Ammo +5",5,0)+IF(BK19="Ammo +5",5,0)+IF(BL19="Ammo +5",5,0)+IF(BM19="Ammo +5",5,0)+IF(BJ19="Ammo +6",6,0)+IF(BK19="Ammo +6",6,0)+IF(BL19="Ammo +6",6,0)+IF(BM19="Ammo +6",6,0))*(1+IF(N54=CS25,0.1,0)+IF(S54=CS25,0.1,0)+IF(W54=CS25,0.1,0)+IF(N54=CS26,0.2,0)+IF(S54=CS26,0.2,0)+IF(W54=CS26,0.2,0)+IF(N54=CS27,0.3,0)+IF(S54=CS27,0.3,0)+IF(W54=CS27,0.3,0)+IF(N54=CS28,0.4,0)+IF(S54=CS28,0.4,0)+IF(W54=CS28,0.4,0)+IF(N54=CS29,0.5,0)+IF(S54=CS29,0.5,0)+IF(W54=CS29,0.5,0)+IF(AB27=DS51,0.2,0)),0)</f>
        <v>0</v>
      </c>
      <c r="AQ33" s="468"/>
      <c r="AR33" s="29"/>
      <c r="AS33" s="29"/>
      <c r="AT33" s="364" t="s">
        <v>890</v>
      </c>
      <c r="AU33" s="364" t="s">
        <v>1207</v>
      </c>
      <c r="AV33" s="364" t="s">
        <v>167</v>
      </c>
      <c r="AW33" s="364" t="s">
        <v>1547</v>
      </c>
      <c r="AX33" s="364" t="s">
        <v>1548</v>
      </c>
      <c r="AY33" s="364" t="s">
        <v>1002</v>
      </c>
      <c r="AZ33" s="364" t="s">
        <v>1549</v>
      </c>
      <c r="BA33" s="364" t="s">
        <v>1550</v>
      </c>
      <c r="BB33" s="364" t="s">
        <v>190</v>
      </c>
      <c r="BC33" s="492"/>
      <c r="BD33" s="364" t="s">
        <v>692</v>
      </c>
      <c r="BE33" s="364" t="s">
        <v>1207</v>
      </c>
      <c r="BF33" s="364" t="s">
        <v>167</v>
      </c>
      <c r="BG33" s="29"/>
      <c r="BH33" s="29"/>
      <c r="BI33" s="410" t="s">
        <v>1565</v>
      </c>
      <c r="BJ33" s="411" t="s">
        <v>876</v>
      </c>
      <c r="BK33" s="411" t="s">
        <v>877</v>
      </c>
      <c r="BL33" s="411" t="s">
        <v>878</v>
      </c>
      <c r="BM33" s="411" t="s">
        <v>879</v>
      </c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6"/>
      <c r="CA33" s="398" t="s">
        <v>1527</v>
      </c>
      <c r="CB33" s="394" t="s">
        <v>847</v>
      </c>
      <c r="CC33" s="395" t="s">
        <v>1573</v>
      </c>
      <c r="CD33" s="394" t="s">
        <v>1577</v>
      </c>
      <c r="CE33" s="394" t="s">
        <v>1574</v>
      </c>
      <c r="CF33" s="394" t="s">
        <v>1575</v>
      </c>
      <c r="CG33" s="233"/>
      <c r="CH33" s="233"/>
      <c r="CI33" s="233"/>
      <c r="CJ33" s="233"/>
      <c r="CK33" s="233"/>
      <c r="CL33" s="233"/>
      <c r="CM33" s="233"/>
      <c r="CN33" s="361" t="str">
        <f t="shared" si="2"/>
        <v xml:space="preserve"> </v>
      </c>
      <c r="CO33" s="361" t="str">
        <f t="shared" si="3"/>
        <v xml:space="preserve"> </v>
      </c>
      <c r="CP33" s="361" t="str">
        <f t="shared" si="4"/>
        <v xml:space="preserve"> </v>
      </c>
      <c r="CQ33" s="361" t="str">
        <f t="shared" si="5"/>
        <v xml:space="preserve"> </v>
      </c>
      <c r="CR33" s="361" t="str">
        <f t="shared" si="6"/>
        <v xml:space="preserve"> </v>
      </c>
      <c r="CS33" s="233" t="s">
        <v>930</v>
      </c>
      <c r="CT33" s="233"/>
      <c r="CU33" s="233"/>
      <c r="CV33" s="233" t="s">
        <v>930</v>
      </c>
      <c r="CW33" s="233"/>
      <c r="CX33" s="233"/>
      <c r="CY33" s="233" t="s">
        <v>923</v>
      </c>
      <c r="CZ33" s="233"/>
      <c r="DA33" s="233" t="s">
        <v>962</v>
      </c>
      <c r="DB33" s="233"/>
      <c r="DC33" s="233" t="s">
        <v>1219</v>
      </c>
      <c r="DD33" s="233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419" t="s">
        <v>1172</v>
      </c>
      <c r="DT33" s="422">
        <v>5970</v>
      </c>
      <c r="DU33" s="420">
        <v>1</v>
      </c>
      <c r="DV33" s="420">
        <v>30</v>
      </c>
      <c r="DW33" s="420">
        <v>2</v>
      </c>
      <c r="DX33" s="420"/>
      <c r="DY33" s="420">
        <v>42</v>
      </c>
      <c r="DZ33" s="420" t="s">
        <v>1173</v>
      </c>
      <c r="EA33" s="29">
        <v>26</v>
      </c>
      <c r="EB33" s="413" t="str">
        <f t="shared" si="43"/>
        <v>Explorer Medium</v>
      </c>
      <c r="EC33" s="432">
        <f t="shared" si="44"/>
        <v>2</v>
      </c>
      <c r="ED33" s="432">
        <f t="shared" si="45"/>
        <v>45</v>
      </c>
      <c r="EE33" s="432">
        <f t="shared" si="46"/>
        <v>3</v>
      </c>
      <c r="EF33" s="432" t="str">
        <f t="shared" si="47"/>
        <v>V; C; L</v>
      </c>
      <c r="EG33" s="432">
        <f t="shared" si="48"/>
        <v>38</v>
      </c>
      <c r="EH33" s="97">
        <f t="shared" si="36"/>
        <v>0</v>
      </c>
      <c r="EI33" s="97">
        <f t="shared" si="37"/>
        <v>0</v>
      </c>
      <c r="EJ33" s="97">
        <f t="shared" si="38"/>
        <v>0</v>
      </c>
      <c r="EK33" s="97">
        <f t="shared" si="39"/>
        <v>0</v>
      </c>
      <c r="EL33" s="97">
        <f t="shared" si="40"/>
        <v>0</v>
      </c>
      <c r="EM33" s="29"/>
      <c r="EN33" s="29"/>
      <c r="EO33" s="29"/>
      <c r="EP33" s="29"/>
      <c r="EQ33" s="29"/>
      <c r="ER33" s="29"/>
      <c r="ES33" s="29"/>
      <c r="ET33" s="29"/>
      <c r="EU33" s="29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</row>
    <row r="34" spans="1:168" ht="15.95" customHeight="1" thickBot="1" x14ac:dyDescent="0.3">
      <c r="A34" s="35"/>
      <c r="B34" s="35"/>
      <c r="C34" s="35"/>
      <c r="D34" s="35"/>
      <c r="E34" s="133"/>
      <c r="F34" s="524" t="s">
        <v>130</v>
      </c>
      <c r="G34" s="524"/>
      <c r="H34" s="524"/>
      <c r="I34" s="138"/>
      <c r="J34" s="524" t="s">
        <v>131</v>
      </c>
      <c r="K34" s="524"/>
      <c r="L34" s="524"/>
      <c r="M34" s="29"/>
      <c r="N34" s="29"/>
      <c r="O34" s="543"/>
      <c r="P34" s="543"/>
      <c r="Q34" s="29"/>
      <c r="R34" s="530"/>
      <c r="S34" s="530"/>
      <c r="T34" s="530"/>
      <c r="U34" s="29"/>
      <c r="V34" s="564" t="str">
        <f>IF(Q19-R34&gt;-1*B10,Q19-R34,"DEAD")</f>
        <v>DEAD</v>
      </c>
      <c r="W34" s="30"/>
      <c r="X34" s="304" t="s">
        <v>1745</v>
      </c>
      <c r="Y34" s="304" t="s">
        <v>1271</v>
      </c>
      <c r="Z34" s="517"/>
      <c r="AA34" s="517"/>
      <c r="AB34" s="517"/>
      <c r="AC34" s="517"/>
      <c r="AD34" s="517"/>
      <c r="AE34" s="483"/>
      <c r="AF34" s="483"/>
      <c r="AG34" s="29"/>
      <c r="AH34" s="29"/>
      <c r="AI34" s="29"/>
      <c r="AJ34" s="29"/>
      <c r="AK34" s="29"/>
      <c r="AL34" s="29">
        <v>6</v>
      </c>
      <c r="AM34" s="376" t="str">
        <f t="shared" si="41"/>
        <v xml:space="preserve"> </v>
      </c>
      <c r="AN34" s="29"/>
      <c r="AO34" s="386" t="s">
        <v>583</v>
      </c>
      <c r="AP34" s="468">
        <f>MROUND((IF(C54=$AH$1,BD27,IF(C54=$AH$2,BD61,IF(C54=$AH$3,BD92,IF(C54=$AH$4,BD123,IF(C54=$AH$5,BD154,IF(C54=$AH$6,BD185,0))))))+IF(BJ19="Range +10",10,0)+IF(BK19="Range +10",10,0)+IF(BL19="Range +10",10,0)+IF(BM19="Range +10",10,0)+IF(BJ19="Range +5",5,0)+IF(BK19="Range +5",5,0)+IF(BL19="Range +5",5,0)+IF(BM19="Range +5",5,0))*(1+IF(N54=CS21,0.5,0)+IF(S54=CS21,0.5,0)+IF(W54=CS21,0.5,0)+IF(N54=DA8,0.1,0)+IF(S54=DA8,0.1,0)+IF(W54=DA8,0.1,0)+IF(N54=DA9,0.2,0)+IF(S54=DA9,0.2,0)+IF(W54=DA9,0.2,0)+IF(N54=DA10,0.3,0)+IF(S54=DA10,0.3,0)+IF(W54=DA10,0.3,0)+IF(N54=DA11,0.4,0)+IF(S54=DA11,0.4,0)+IF(W54=DA11,0.4,0)+IF(N54=DA12,0.5,0)+IF(S54=DA12,0.5,0)+IF(W54=DA12,0.5,0)+IF(N54=CV20,0.25,0)+IF(S54=CV20,0.25,0)+IF(W54=CV20,0.25,0)),5)</f>
        <v>0</v>
      </c>
      <c r="AQ34" s="468"/>
      <c r="AR34" s="29"/>
      <c r="AS34" s="29">
        <v>1</v>
      </c>
      <c r="AT34" s="375" t="s">
        <v>1010</v>
      </c>
      <c r="AU34" s="375" t="s">
        <v>541</v>
      </c>
      <c r="AV34" s="375" t="s">
        <v>509</v>
      </c>
      <c r="AW34" s="375">
        <v>20</v>
      </c>
      <c r="AX34" s="375">
        <v>2</v>
      </c>
      <c r="AY34" s="375">
        <v>13</v>
      </c>
      <c r="AZ34" s="375" t="s">
        <v>909</v>
      </c>
      <c r="BA34" s="375">
        <v>7</v>
      </c>
      <c r="BB34" s="375">
        <v>-5</v>
      </c>
      <c r="BC34" s="375">
        <v>40</v>
      </c>
      <c r="BD34" s="375">
        <v>40</v>
      </c>
      <c r="BE34" s="375">
        <f>IF(BF34&lt;=4,BF34-1,IF(OR(BF34=5,BF34=6,BF34=6.5),BF34-1.5,IF(OR(BF34=7,BF34=8),BF34-2,IF(OR(BF34=9,BF34=10),BF34-2.5,IF(OR(BF34=11,BF34=12,BF34=13),BF34-3,IF(OR(BF34=14,BF34=15,BF34=16),BF34-4,IF(OR(BF34=17,BF34=18),BF34-5,IF(BF34&gt;=19,BF34-6,0))))))))</f>
        <v>6</v>
      </c>
      <c r="BF34" s="375">
        <v>8</v>
      </c>
      <c r="BG34" s="29"/>
      <c r="BH34" s="29"/>
      <c r="BI34" s="409" t="s">
        <v>1552</v>
      </c>
      <c r="BJ34" s="407">
        <f>IF(AND($C$78=$AH$1,OR($L$78=$BJ$3,$L$78=$BK$3,$L$78=$BL$3,$L$78=$BM$3),$G$78=$CA$7),CC7,IF(AND($C$78=$AH$1,OR($L$78=$BJ$3,$L$78=$BK$3,$L$78=$BL$3,$L$78=$BM$3),$G$78=$CA$9),CC9,IF(AND($C$78=$AH$1,OR($L$78=$BJ$3,$L$78=$BK$3,$L$78=$BL$3,$L$78=$BM$3),$G$78=$CA$10),CC10,IF(AND($C$78=$AH$1,OR($L$78=$BJ$3,$L$78=$BK$3,$L$78=$BL$3,$L$78=$BM$3),$G$78=$CA$11),CC11,IF(AND($C$78=$AH$1,OR($L$78=$BJ$3,$L$78=$BK$3,$L$78=$BL$3,$L$78=$BM$3),$G$78=$CA$12),CC12,IF(AND($C$78=$AH$1,OR($L$78=$BJ$3,$L$78=$BK$3,$L$78=$BL$3,$L$78=$BM$3),$G$78=$CA$13),CC13,IF(AND($C$78=$AH$1,OR($L$78=$BJ$3,$L$78=$BK$3,$L$78=$BL$3,$L$78=$BM$3),$G$78=$CA$14),CC14,IF(AND($C$78=$AH$1,OR($L$78=$BJ$3,$L$78=$BK$3,$L$78=$BL$3,$L$78=$BM$3),$G$78=$CA$15),CC15,IF(AND($C$78=$AH$1,OR($L$78=$BJ$3,$L$78=$BK$3,$L$78=$BL$3,$L$78=$BM$3),$G$78=$CA$16),CC16,IF(AND($C$78=$AH$1,OR($L$78=$BJ$3,$L$78=$BK$3,$L$78=$BL$3,$L$78=$BM$3),$G$78=$CA$17),CC17,IF(AND($C$78=$AH$1,OR($L$78=$BJ$3,$L$78=$BK$3,$L$78=$BL$3,$L$78=$BM$3),$G$78=$CA$18),CC18,IF(AND($C$78=$AH$1,OR($L$78=$BJ$3,$L$78=$BK$3,$L$78=$BL$3,$L$78=$BM$3),$G$78=$CA$19),CC19,IF(AND($C$78=$AH$1,OR($L$78=$BJ$3,$L$78=$BK$3,$L$78=$BL$3,$L$78=$BM$3),$G$78=$CA$20),CC20,0)))))))))))))</f>
        <v>0</v>
      </c>
      <c r="BK34" s="407">
        <f>IF(AND($C$78=$AH$1,OR($L$78=$BK$3,$L$78=$BL$3,$L$78=$BM$3),$G$78=$CA$7),CD7,IF(AND($C$78=$AH$1,OR($L$78=$BK$3,$L$78=$BL$3,$L$78=$BM$3),$G$78=$CA$9),CD9,IF(AND($C$78=$AH$1,OR($L$78=$BK$3,$L$78=$BL$3,$L$78=$BM$3),$G$78=$CA$10),CD10,IF(AND($C$78=$AH$1,OR($L$78=$BK$3,$L$78=$BL$3,$L$78=$BM$3),$G$78=$CA$11),CD11,IF(AND($C$78=$AH$1,OR($L$78=$BK$3,$L$78=$BL$3,$L$78=$BM$3),$G$78=$CA$12),CD12,IF(AND($C$78=$AH$1,OR($L$78=$BK$3,$L$78=$BL$3,$L$78=$BM$3),$G$78=$CA$13),CD13,IF(AND($C$78=$AH$1,OR($L$78=$BK$3,$L$78=$BL$3,$L$78=$BM$3),$G$78=$CA$14),CD14,IF(AND($C$78=$AH$1,OR($L$78=$BK$3,$L$78=$BL$3,$L$78=$BM$3),$G$78=$CA$15),CD15,IF(AND($C$78=$AH$1,OR($L$78=$BK$3,$L$78=$BL$3,$L$78=$BM$3),$G$78=$CA$16),CD16,IF(AND($C$78=$AH$1,OR($L$78=$BK$3,$L$78=$BL$3,$L$78=$BM$3),$G$78=$CA$17),CD17,IF(AND($C$78=$AH$1,OR($L$78=$BK$3,$L$78=$BL$3,$L$78=$BM$3),$G$78=$CA$18),CD18,IF(AND($C$78=$AH$1,OR($L$78=$BK$3,$L$78=$BL$3,$L$78=$BM$3),$G$78=$CA$19),CD19,IF(AND($C$78=$AH$1,OR($L$78=$BK$3,$L$78=$BL$3,$L$78=$BM$3),$G$78=$CA$20),CD20,0)))))))))))))</f>
        <v>0</v>
      </c>
      <c r="BL34" s="407">
        <f>IF(AND($C$78=$AH$1,OR($L$78=$BL$3,$L$78=$BM$3),$G$78=$CA$7),CE7,IF(AND($C$78=$AH$1,OR($L$78=$BL$3,$L$78=$BM$3),$G$78=$CA$9),CE9,IF(AND($C$78=$AH$1,OR($L$78=$BL$3,$L$78=$BM$3),$G$78=$CA$10),CE10,IF(AND($C$78=$AH$1,OR($L$78=$BL$3,$L$78=$BM$3),$G$78=$CA$11),CE11,IF(AND($C$78=$AH$1,OR($L$78=$BL$3,$L$78=$BM$3),$G$78=$CA$12),CE12,IF(AND($C$78=$AH$1,OR($L$78=$BL$3,$L$78=$BM$3),$G$78=$CA$13),CE13,IF(AND($C$78=$AH$1,OR($L$78=$BL$3,$L$78=$BM$3),$G$78=$CA$14),CE14,IF(AND($C$78=$AH$1,OR($L$78=$BL$3,$L$78=$BM$3),$G$78=$CA$15),CE15,IF(AND($C$78=$AH$1,OR($L$78=$BL$3,$L$78=$BM$3),$G$78=$CA$16),CE16,IF(AND($C$78=$AH$1,OR($L$78=$BL$3,$L$78=$BM$3),$G$78=$CA$17),CE17,IF(AND($C$78=$AH$1,OR($L$78=$BL$3,$L$78=$BM$3),$G$78=$CA$18),CE18,IF(AND($C$78=$AH$1,OR($L$78=$BL$3,$L$78=$BM$3),$G$78=$CA$19),CE19,IF(AND($C$78=$AH$1,OR($L$78=$BL$3,$L$78=$BM$3),$G$78=$CA$20),CE20,0)))))))))))))</f>
        <v>0</v>
      </c>
      <c r="BM34" s="407">
        <f>IF(AND($C$78=$AH$1,OR($L$78=$BM$3),$G$78=$CA$7),CF7,IF(AND($C$78=$AH$1,OR($L$78=$BM$3),$G$78=$CA$9),CF9,IF(AND($C$78=$AH$1,OR($L$78=$BM$3),$G$78=$CA$10),CF10,IF(AND($C$78=$AH$1,OR($L$78=$BM$3),$G$78=$CA$11),CF11,IF(AND($C$78=$AH$1,OR($L$78=$BM$3),$G$78=$CA$12),CF12,IF(AND($C$78=$AH$1,OR($L$78=$BM$3),$G$78=$CA$13),CF13,IF(AND($C$78=$AH$1,OR($L$78=$BM$3),$G$78=$CA$14),CF14,IF(AND($C$78=$AH$1,OR($L$78=$BM$3),$G$78=$CA$15),CF15,IF(AND($C$78=$AH$1,OR($L$78=$BM$3),$G$78=$CA$16),CF16,IF(AND($C$78=$AH$1,OR($L$78=$BM$3),$G$78=$CA$17),CF17,IF(AND($C$78=$AH$1,OR($L$78=$BM$3),$G$78=$CA$18),CF18,IF(AND($C$78=$AH$1,OR($L$78=$BM$3),$G$78=$CA$19),CF19,IF(AND($C$78=$AH$1,OR($L$78=$BM$3),$G$78=$CA$20),CF20,0)))))))))))))</f>
        <v>0</v>
      </c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6"/>
      <c r="CA34" s="401"/>
      <c r="CB34" s="401"/>
      <c r="CC34" s="401"/>
      <c r="CD34" s="401"/>
      <c r="CE34" s="401"/>
      <c r="CF34" s="401"/>
      <c r="CG34" s="233"/>
      <c r="CH34" s="233"/>
      <c r="CI34" s="233"/>
      <c r="CJ34" s="233"/>
      <c r="CK34" s="233"/>
      <c r="CL34" s="233"/>
      <c r="CM34" s="233"/>
      <c r="CN34" s="361" t="str">
        <f t="shared" si="2"/>
        <v xml:space="preserve"> </v>
      </c>
      <c r="CO34" s="361" t="str">
        <f t="shared" si="3"/>
        <v xml:space="preserve"> </v>
      </c>
      <c r="CP34" s="361" t="str">
        <f t="shared" si="4"/>
        <v xml:space="preserve"> </v>
      </c>
      <c r="CQ34" s="361" t="str">
        <f t="shared" si="5"/>
        <v xml:space="preserve"> </v>
      </c>
      <c r="CR34" s="361" t="str">
        <f t="shared" si="6"/>
        <v xml:space="preserve"> </v>
      </c>
      <c r="CS34" s="233" t="s">
        <v>932</v>
      </c>
      <c r="CT34" s="233"/>
      <c r="CU34" s="233"/>
      <c r="CV34" s="233" t="s">
        <v>1012</v>
      </c>
      <c r="CW34" s="233"/>
      <c r="CX34" s="233"/>
      <c r="CY34" s="233" t="s">
        <v>924</v>
      </c>
      <c r="CZ34" s="233"/>
      <c r="DA34" s="233" t="s">
        <v>1587</v>
      </c>
      <c r="DB34" s="233"/>
      <c r="DC34" s="233" t="s">
        <v>1223</v>
      </c>
      <c r="DD34" s="233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419" t="s">
        <v>1602</v>
      </c>
      <c r="DT34" s="422">
        <v>6775</v>
      </c>
      <c r="DU34" s="420">
        <v>1</v>
      </c>
      <c r="DV34" s="420">
        <v>60</v>
      </c>
      <c r="DW34" s="420">
        <v>3</v>
      </c>
      <c r="DX34" s="420" t="s">
        <v>1159</v>
      </c>
      <c r="DY34" s="420">
        <v>45</v>
      </c>
      <c r="DZ34" s="420" t="s">
        <v>1605</v>
      </c>
      <c r="EA34" s="29">
        <v>27</v>
      </c>
      <c r="EB34" s="413" t="str">
        <f t="shared" si="43"/>
        <v>Inferno Armor</v>
      </c>
      <c r="EC34" s="432">
        <f t="shared" si="44"/>
        <v>1</v>
      </c>
      <c r="ED34" s="432">
        <f t="shared" si="45"/>
        <v>30</v>
      </c>
      <c r="EE34" s="432">
        <f t="shared" si="46"/>
        <v>2</v>
      </c>
      <c r="EF34" s="432">
        <f t="shared" si="47"/>
        <v>0</v>
      </c>
      <c r="EG34" s="432">
        <f t="shared" si="48"/>
        <v>42</v>
      </c>
      <c r="EH34" s="97">
        <f t="shared" si="36"/>
        <v>0</v>
      </c>
      <c r="EI34" s="97">
        <f t="shared" si="37"/>
        <v>0</v>
      </c>
      <c r="EJ34" s="97">
        <f t="shared" si="38"/>
        <v>0</v>
      </c>
      <c r="EK34" s="97">
        <f t="shared" si="39"/>
        <v>0</v>
      </c>
      <c r="EL34" s="97">
        <f t="shared" si="40"/>
        <v>0</v>
      </c>
      <c r="EM34" s="29"/>
      <c r="EN34" s="29"/>
      <c r="EO34" s="29"/>
      <c r="EP34" s="29"/>
      <c r="EQ34" s="29"/>
      <c r="ER34" s="29"/>
      <c r="ES34" s="29"/>
      <c r="ET34" s="29"/>
      <c r="EU34" s="29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</row>
    <row r="35" spans="1:168" ht="15.75" customHeight="1" thickBot="1" x14ac:dyDescent="0.3">
      <c r="A35" s="547" t="s">
        <v>1508</v>
      </c>
      <c r="B35" s="548"/>
      <c r="C35" s="549"/>
      <c r="D35" s="550">
        <f>D31+F31+H31+J31+L31+IF('Combat Powers'!$U$54="Yes",$N$12,0)</f>
        <v>5</v>
      </c>
      <c r="E35" s="551"/>
      <c r="F35" s="35"/>
      <c r="G35" s="527" t="s">
        <v>1509</v>
      </c>
      <c r="H35" s="527"/>
      <c r="I35" s="527"/>
      <c r="J35" s="527"/>
      <c r="K35" s="550">
        <f>10+H31+L31+IF(F31&lt;0,F31,0)</f>
        <v>5</v>
      </c>
      <c r="L35" s="551"/>
      <c r="M35" s="29"/>
      <c r="N35" s="29"/>
      <c r="O35" s="543"/>
      <c r="P35" s="543"/>
      <c r="Q35" s="29"/>
      <c r="R35" s="530"/>
      <c r="S35" s="530"/>
      <c r="T35" s="530"/>
      <c r="U35" s="29"/>
      <c r="V35" s="564"/>
      <c r="W35" s="30"/>
      <c r="X35" s="303" t="str">
        <f>EK4</f>
        <v xml:space="preserve"> </v>
      </c>
      <c r="Y35" s="304" t="s">
        <v>1271</v>
      </c>
      <c r="Z35" s="517"/>
      <c r="AA35" s="517"/>
      <c r="AB35" s="517"/>
      <c r="AC35" s="517"/>
      <c r="AD35" s="517"/>
      <c r="AE35" s="517"/>
      <c r="AF35" s="517"/>
      <c r="AG35" s="30"/>
      <c r="AH35" s="29"/>
      <c r="AI35" s="29"/>
      <c r="AJ35" s="29"/>
      <c r="AK35" s="29"/>
      <c r="AL35" s="29">
        <v>7</v>
      </c>
      <c r="AM35" s="376" t="str">
        <f t="shared" si="41"/>
        <v xml:space="preserve"> </v>
      </c>
      <c r="AN35" s="29"/>
      <c r="AO35" s="386" t="s">
        <v>771</v>
      </c>
      <c r="AP35" s="469">
        <f>(IF($B$2=$AI$28,IF(C54=$AH$1,BE27,IF(C54=$AH$2,BE61,IF(C54=$AH$3,BE92,IF(C54=$AH$4,BE123,IF(C54=$AH$5,BE154,IF(C54=$AH$6,BE185,0)))))),IF(C54=$AH$1,BF27,IF(C54=$AH$2,BF61,IF(C54=$AH$3,BF92,IF(C54=$AH$4,BF123,IF(C54=$AH$5,BF154,IF(C54=$AH$6,BF185,0))))))))*(1-IF(L54=$CB$5,0.05,IF(51=$CC$5,0.1,IF(L54=$CD$5,0.15,IF(L54=$CE$5,0.2,IF(L54=$CF$5,0.25,0)))))+IF(OR(N54=CY13,N54=CY14,N54=CY15,N54=CY16,N54=CY17),0.25,0)+IF(OR(S54=CY13,S54=CY14,S54=CY15,S54=CY16,S54=CY17),0.25,0)+IF(OR(W54=CY13,W54=CY14,W54=CY15,W54=CY16,W54=CY17),0.25,0)-IF(N54=CS41,0.1,0)-IF(S54=CS41,0.1,0)-IF(W54=CS41,0.1,0)-IF(N54=CS42,0.2,0)-IF(S54=CS42,0.2,0)-IF(W54=CS42,0.2,0)-IF(N54=CS43,0.3,0)-IF(S54=CS43,0.3,0)-IF(W54=CS43,0.3,0)-IF(N54=CS44,0.4,0)-IF(S54=CS44,0.4,0)-IF(W54=CS44,0.4,0)-IF(N54=CS45,0.5,0)-IF(S54=CS45,0.5,0)-IF(W54=CS45,0.5,0))</f>
        <v>0</v>
      </c>
      <c r="AQ35" s="470"/>
      <c r="AR35" s="29"/>
      <c r="AS35" s="29">
        <v>2</v>
      </c>
      <c r="AT35" s="375" t="s">
        <v>1203</v>
      </c>
      <c r="AU35" s="375" t="s">
        <v>509</v>
      </c>
      <c r="AV35" s="375" t="s">
        <v>719</v>
      </c>
      <c r="AW35" s="375">
        <v>20</v>
      </c>
      <c r="AX35" s="375">
        <v>2</v>
      </c>
      <c r="AY35" s="375">
        <v>12</v>
      </c>
      <c r="AZ35" s="375" t="s">
        <v>909</v>
      </c>
      <c r="BA35" s="375">
        <v>8</v>
      </c>
      <c r="BB35" s="375">
        <v>-4</v>
      </c>
      <c r="BC35" s="375">
        <v>40</v>
      </c>
      <c r="BD35" s="375">
        <v>40</v>
      </c>
      <c r="BE35" s="375">
        <f t="shared" ref="BE35:BE36" si="50">IF(BF35&lt;=4,BF35-1,IF(OR(BF35=5,BF35=6,BF35=6.5),BF35-1.5,IF(OR(BF35=7,BF35=8),BF35-2,IF(OR(BF35=9,BF35=10),BF35-2.5,IF(OR(BF35=11,BF35=12,BF35=13),BF35-3,IF(OR(BF35=14,BF35=15,BF35=16),BF35-4,IF(OR(BF35=17,BF35=18),BF35-5,IF(BF35&gt;=19,BF35-6,0))))))))</f>
        <v>5</v>
      </c>
      <c r="BF35" s="375">
        <v>7</v>
      </c>
      <c r="BG35" s="29"/>
      <c r="BH35" s="29"/>
      <c r="BI35" s="409" t="s">
        <v>1537</v>
      </c>
      <c r="BJ35" s="407">
        <f>IF(AND($C$78=$AH$2,OR($L$78=$BJ$3,$L$78=$BK$3,$L$78=$BL$3,$L$78=$BM$3),$G$78=$CA$25),CC25,IF(AND($C$78=$AH$2,OR($L$78=$BJ$3,$L$78=$BK$3,$L$78=$BL$3,$L$78=$BM$3),$G$78=$CA$26),CC26,IF(AND($C$78=$AH$2,OR($L$78=$BJ$3,$L$78=$BK$3,$L$78=$BL$3,$L$78=$BM$3),$G$78=$CA$27),CC27,IF(AND($C$78=$AH$2,OR($L$78=$BJ$3,$L$78=$BK$3,$L$78=$BL$3,$L$78=$BM$3),$G$78=$CA$28),CC28,IF(AND($C$78=$AH$2,OR($L$78=$BJ$3,$L$78=$BK$3,$L$78=$BL$3,$L$78=$BM$3),$G$78=$CA$29),CC29,IF(AND($C$78=$AH$2,OR($L$78=$BJ$3,$L$78=$BK$3,$L$78=$BL$3,$L$78=$BM$3),$G$78=$CA$30),CC30,IF(AND($C$78=$AH$2,OR($L$78=$BJ$3,$L$78=$BK$3,$L$78=$BL$3,$L$78=$BM$3),$G$78=$CA$31),CC31,IF(AND($C$78=$AH$2,OR($L$78=$BJ$3,$L$78=$BK$3,$L$78=$BL$3,$L$78=$BM$3),$G$78=$CA$32),CC32,IF(AND($C$78=$AH$2,OR($L$78=$BJ$3,$L$78=$BK$3,$L$78=$BL$3,$L$78=$BM$3),$G$78=$CA$33),CC33,0)))))))))</f>
        <v>0</v>
      </c>
      <c r="BK35" s="407">
        <f>IF(AND($C$78=$AH$2,OR($L$78=$BK$3,$L$78=$BL$3,$L$78=$BM$3),$G$78=$CA$25),CD25,IF(AND($C$78=$AH$2,OR($L$78=$BK$3,$L$78=$BL$3,$L$78=$BM$3),$G$78=$CA$26),CD26,IF(AND($C$78=$AH$2,OR($L$78=$BK$3,$L$78=$BL$3,$L$78=$BM$3),$G$78=$CA$27),CD27,IF(AND($C$78=$AH$2,OR($L$78=$BK$3,$L$78=$BL$3,$L$78=$BM$3),$G$78=$CA$28),CD28,IF(AND($C$78=$AH$2,OR($L$78=$BK$3,$L$78=$BL$3,$L$78=$BM$3),$G$78=$CA$29),CD29,IF(AND($C$78=$AH$2,OR($L$78=$BK$3,$L$78=$BL$3,$L$78=$BM$3),$G$78=$CA$30),CD30,IF(AND($C$78=$AH$2,OR($L$78=$BK$3,$L$78=$BL$3,$L$78=$BM$3),$G$78=$CA$31),CD31,IF(AND($C$78=$AH$2,OR($L$78=$BK$3,$L$78=$BL$3,$L$78=$BM$3),$G$78=$CA$32),CD32,IF(AND($C$78=$AH$2,OR($L$78=$BK$3,$L$78=$BL$3,$L$78=$BM$3),$G$78=$CA$33),CD33,0)))))))))</f>
        <v>0</v>
      </c>
      <c r="BL35" s="407">
        <f>IF(AND($C$78=$AH$2,OR($L$78=$BL$3,$L$78=$BM$3),$G$78=$CA$25),CE25,IF(AND($C$78=$AH$2,OR($L$78=$BL$3,$L$78=$BM$3),$G$78=$CA$26),CE26,IF(AND($C$78=$AH$2,OR($L$78=$BL$3,$L$78=$BM$3),$G$78=$CA$27),CE27,IF(AND($C$78=$AH$2,OR($L$78=$BL$3,$L$78=$BM$3),$G$78=$CA$28),CE28,IF(AND($C$78=$AH$2,OR($L$78=$BL$3,$L$78=$BM$3),$G$78=$CA$29),CE29,IF(AND($C$78=$AH$2,OR($L$78=$BL$3,$L$78=$BM$3),$G$78=$CA$30),CE30,IF(AND($C$78=$AH$2,OR($L$78=$BL$3,$L$78=$BM$3),$G$78=$CA$31),CE31,IF(AND($C$78=$AH$2,OR($L$78=$BL$3,$L$78=$BM$3),$G$78=$CA$32),CE32,IF(AND($C$78=$AH$2,OR($L$78=$BL$3,$L$78=$BM$3),$G$78=$CA$33),CE33,0)))))))))</f>
        <v>0</v>
      </c>
      <c r="BM35" s="407">
        <f>IF(AND($C$78=$AH$2,OR($L$78=$BM$3),$G$78=$CA$25),CF25,IF(AND($C$78=$AH$2,OR($L$78=$BM$3),$G$78=$CA$26),CF26,IF(AND($C$78=$AH$2,OR($L$78=$BM$3),$G$78=$CA$27),CF27,IF(AND($C$78=$AH$2,OR($L$78=$BM$3),$G$78=$CA$28),CF28,IF(AND($C$78=$AH$2,OR($L$78=$BM$3),$G$78=$CA$29),CF29,IF(AND($C$78=$AH$2,OR($L$78=$BM$3),$G$78=$CA$30),CF30,IF(AND($C$78=$AH$2,OR($L$78=$BM$3),$G$78=$CA$31),CF31,IF(AND($C$78=$AH$2,OR($L$78=$BM$3),$G$78=$CA$32),CF32,IF(AND($C$78=$AH$2,OR($L$78=$BM$3),$G$78=$CA$33),CF33,0)))))))))</f>
        <v>0</v>
      </c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6"/>
      <c r="CA35" s="636" t="s">
        <v>874</v>
      </c>
      <c r="CB35" s="637"/>
      <c r="CC35" s="637"/>
      <c r="CD35" s="637"/>
      <c r="CE35" s="637"/>
      <c r="CF35" s="638"/>
      <c r="CG35" s="233"/>
      <c r="CH35" s="233"/>
      <c r="CI35" s="233"/>
      <c r="CJ35" s="233"/>
      <c r="CK35" s="233"/>
      <c r="CL35" s="233"/>
      <c r="CM35" s="233"/>
      <c r="CN35" s="361" t="str">
        <f t="shared" si="2"/>
        <v xml:space="preserve"> </v>
      </c>
      <c r="CO35" s="361" t="str">
        <f t="shared" si="3"/>
        <v xml:space="preserve"> </v>
      </c>
      <c r="CP35" s="361" t="str">
        <f t="shared" si="4"/>
        <v xml:space="preserve"> </v>
      </c>
      <c r="CQ35" s="361" t="str">
        <f t="shared" si="5"/>
        <v xml:space="preserve"> </v>
      </c>
      <c r="CR35" s="361" t="str">
        <f t="shared" si="6"/>
        <v xml:space="preserve"> </v>
      </c>
      <c r="CS35" s="233" t="s">
        <v>935</v>
      </c>
      <c r="CT35" s="233"/>
      <c r="CU35" s="233"/>
      <c r="CV35" s="233" t="s">
        <v>1013</v>
      </c>
      <c r="CW35" s="233"/>
      <c r="CX35" s="233"/>
      <c r="CY35" s="233" t="s">
        <v>925</v>
      </c>
      <c r="CZ35" s="233"/>
      <c r="DA35" s="339" t="s">
        <v>1448</v>
      </c>
      <c r="DB35" s="233"/>
      <c r="DC35" s="233" t="s">
        <v>1222</v>
      </c>
      <c r="DD35" s="233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421" t="s">
        <v>1187</v>
      </c>
      <c r="DT35" s="422">
        <v>6870</v>
      </c>
      <c r="DU35" s="420">
        <v>2</v>
      </c>
      <c r="DV35" s="420">
        <v>40</v>
      </c>
      <c r="DW35" s="420">
        <v>4</v>
      </c>
      <c r="DX35" s="420" t="s">
        <v>1159</v>
      </c>
      <c r="DY35" s="420">
        <v>40</v>
      </c>
      <c r="DZ35" s="420"/>
      <c r="EA35" s="29">
        <v>28</v>
      </c>
      <c r="EB35" s="413" t="str">
        <f t="shared" si="43"/>
        <v>Angara Medium Armor</v>
      </c>
      <c r="EC35" s="432">
        <f t="shared" si="44"/>
        <v>1</v>
      </c>
      <c r="ED35" s="432">
        <f t="shared" si="45"/>
        <v>60</v>
      </c>
      <c r="EE35" s="432">
        <f t="shared" si="46"/>
        <v>3</v>
      </c>
      <c r="EF35" s="432" t="str">
        <f t="shared" si="47"/>
        <v>V; C; S; A; L</v>
      </c>
      <c r="EG35" s="432">
        <f t="shared" si="48"/>
        <v>45</v>
      </c>
      <c r="EH35" s="97">
        <f t="shared" si="36"/>
        <v>0</v>
      </c>
      <c r="EI35" s="97">
        <f t="shared" si="37"/>
        <v>0</v>
      </c>
      <c r="EJ35" s="97">
        <f t="shared" si="38"/>
        <v>0</v>
      </c>
      <c r="EK35" s="97">
        <f t="shared" si="39"/>
        <v>0</v>
      </c>
      <c r="EL35" s="97">
        <f t="shared" si="40"/>
        <v>0</v>
      </c>
      <c r="EM35" s="29"/>
      <c r="EN35" s="29"/>
      <c r="EO35" s="29"/>
      <c r="EP35" s="29"/>
      <c r="EQ35" s="29"/>
      <c r="ER35" s="29"/>
      <c r="ES35" s="29"/>
      <c r="ET35" s="29"/>
      <c r="EU35" s="29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</row>
    <row r="36" spans="1:168" ht="15.95" customHeight="1" thickBot="1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623" t="s">
        <v>1435</v>
      </c>
      <c r="Y36" s="623"/>
      <c r="Z36" s="623"/>
      <c r="AA36" s="623"/>
      <c r="AB36" s="623"/>
      <c r="AC36" s="623"/>
      <c r="AD36" s="623"/>
      <c r="AE36" s="623"/>
      <c r="AF36" s="623"/>
      <c r="AG36" s="30"/>
      <c r="AH36" s="29"/>
      <c r="AI36" s="29">
        <f>IF(AB27=DS50,1,0)</f>
        <v>0</v>
      </c>
      <c r="AJ36" s="29"/>
      <c r="AK36" s="29"/>
      <c r="AL36" s="29">
        <v>8</v>
      </c>
      <c r="AM36" s="376" t="str">
        <f t="shared" si="41"/>
        <v xml:space="preserve"> </v>
      </c>
      <c r="AN36" s="29"/>
      <c r="AO36" s="386" t="s">
        <v>467</v>
      </c>
      <c r="AP36" s="469">
        <f>IF($B$2=$AI$28,IF(C54=$AH$1,AU27,IF(C54=$AH$2,AU61,IF(C54=$AH$3,AU92,IF(C54=$AH$4,AU123,IF(C54=$AH$5,AU154,IF(C43=$AH$6,AU185,0)))))),IF(C54=$AH$1,AV27,IF(C54=$AH$2,AV61,IF(C54=$AH$3,AV92,IF(C54=$AH$4,AV123,IF(C54=$AH$5,AV154,IF(C54=$AH$6,AV185,0)))))))</f>
        <v>0</v>
      </c>
      <c r="AQ36" s="470"/>
      <c r="AR36" s="29"/>
      <c r="AS36" s="29">
        <v>3</v>
      </c>
      <c r="AT36" s="375" t="s">
        <v>802</v>
      </c>
      <c r="AU36" s="375" t="s">
        <v>540</v>
      </c>
      <c r="AV36" s="375" t="s">
        <v>541</v>
      </c>
      <c r="AW36" s="375">
        <v>20</v>
      </c>
      <c r="AX36" s="375">
        <v>2</v>
      </c>
      <c r="AY36" s="375">
        <v>12</v>
      </c>
      <c r="AZ36" s="375" t="s">
        <v>909</v>
      </c>
      <c r="BA36" s="375">
        <v>12</v>
      </c>
      <c r="BB36" s="375">
        <v>-4</v>
      </c>
      <c r="BC36" s="375">
        <v>100</v>
      </c>
      <c r="BD36" s="375">
        <v>40</v>
      </c>
      <c r="BE36" s="375">
        <f t="shared" si="50"/>
        <v>4.5</v>
      </c>
      <c r="BF36" s="375">
        <v>6</v>
      </c>
      <c r="BG36" s="29"/>
      <c r="BH36" s="29"/>
      <c r="BI36" s="409" t="s">
        <v>1534</v>
      </c>
      <c r="BJ36" s="407">
        <f>IF(AND($C$78=$AH$3,OR($L$78=$BJ$3,$L$78=$BK$3,$L$78=$BL$3,$L$78=$BM$3),$G$78=$CA$41),CC41,IF(AND($C$78=$AH$3,OR($L$78=$BJ$3,$L$78=$BK$3,$L$78=$BL$3,$L$78=$BM$3),$G$78=$CA$42),CC42,IF(AND($C$78=$AH$3,OR($L$78=$BJ$3,$L$78=$BK$3,$L$78=$BL$3,$L$78=$BM$3),$G$78=$CA$43),CC43,IF(AND($C$78=$AH$3,OR($L$78=$BJ$3,$L$78=$BK$3,$L$78=$BL$3,$L$78=$BM$3),$G$78=$CA$44),CC44,IF(AND($C$78=$AH$3,OR($L$78=$BJ$3,$L$78=$BK$3,$L$78=$BL$3,$L$78=$BM$3),$G$78=$CA$45),CC45,IF(AND($C$78=$AH$3,OR($L$78=$BJ$3,$L$78=$BK$3,$L$78=$BL$3,$L$78=$BM$3),$G$78=$CA$46),CC46,IF(AND($C$78=$AH$3,OR($L$78=$BJ$3,$L$78=$BK$3,$L$78=$BL$3,$L$78=$BM$3),$G$78=$CA$47),CC47,IF(AND($C$78=$AH$3,OR($L$78=$BJ$3,$L$78=$BK$3,$L$78=$BL$3,$L$78=$BM$3),$G$78=$CA$48),CC48,IF(AND($C$78=$AH$3,OR($L$78=$BJ$3,$L$78=$BK$3,$L$78=$BL$3,$L$78=$BM$3),$G$78=$CA$49),CC49,IF(AND($C$78=$AH$3,OR($L$78=$BJ$3,$L$78=$BK$3,$L$78=$BL$3,$L$78=$BM$3),$G$78=$CA$50),CC50,IF(AND($C$78=$AH$3,OR($L$78=$BJ$3,$L$78=$BK$3,$L$78=$BL$3,$L$78=$BM$3),$G$78=$CA$51),CC51,IF(AND($C$78=$AH$3,OR($L$78=$BJ$3,$L$78=$BK$3,$L$78=$BL$3,$L$78=$BM$3),$G$78=$CA$52),CC52,IF(AND($C$78=$AH$3,OR($L$78=$BJ$3,$L$78=$BK$3,$L$78=$BL$3,$L$78=$BM$3),$G$78=$CA$53),CC53,IF(AND($C$78=$AH$3,OR($L$78=$BJ$3,$L$78=$BK$3,$L$78=$BL$3,$L$78=$BM$3),$G$78=$CA$54),CC54,IF(AND($C$78=$AH$3,OR($L$78=$BJ$3,$L$78=$BK$3,$L$78=$BL$3,$L$78=$BM$3),$G$78=$CA$55),CC55,IF(AND($C$78=$AH$3,OR($L$78=$BJ$3,$L$78=$BK$3,$L$78=$BL$3,$L$78=$BM$3),$G$78=$CA$56),CC56,IF(AND($C$78=$AH$3,OR($L$78=$BJ$3,$L$78=$BK$3,$L$78=$BL$3,$L$78=$BM$3),$G$78=$CA$57),CC57,IF(AND($C$78=$AH$3,OR($L$78=$BJ$3,$L$78=$BK$3,$L$78=$BL$3,$L$78=$BM$3),$G$78=$CA$58),CC58,IF(AND($C$78=$AH$3,OR($L$78=$BJ$3,$L$78=$BK$3,$L$78=$BL$3,$L$78=$BM$3),$G$78=$CA$59),CC59,IF(AND($C$78=$AH$3,OR($L$78=$BJ$3,$L$78=$BK$3,$L$78=$BL$3,$L$78=$BM$3),$G$78=$CA$60),CC60,IF(AND($C$78=$AH$3,OR($L$78=$BJ$3,$L$78=$BK$3,$L$78=$BL$3,$L$78=$BM$3),$G$78=$CA$61),CC61,IF(AND($C$78=$AH$3,OR($L$78=$BJ$3,$L$78=$BK$3,$L$78=$BL$3,$L$78=$BM$3),$G$78=$CA$62),CC62,0))))))))))))))))))))))</f>
        <v>0</v>
      </c>
      <c r="BK36" s="407">
        <f>IF(AND($C$78=$AH$3,OR($L$78=$BK$3,$L$78=$BL$3,$L$78=$BM$3),$G$78=$CA$41),CD41,IF(AND($C$78=$AH$3,OR($L$78=$BK$3,$L$78=$BL$3,$L$78=$BM$3),$G$78=$CA$42),CD42,IF(AND($C$78=$AH$3,OR($L$78=$BK$3,$L$78=$BL$3,$L$78=$BM$3),$G$78=$CA$43),CD43,IF(AND($C$78=$AH$3,OR($L$78=$BK$3,$L$78=$BL$3,$L$78=$BM$3),$G$78=$CA$44),CD44,IF(AND($C$78=$AH$3,OR($L$78=$BK$3,$L$78=$BL$3,$L$78=$BM$3),$G$78=$CA$45),CD45,IF(AND($C$78=$AH$3,OR($L$78=$BK$3,$L$78=$BL$3,$L$78=$BM$3),$G$78=$CA$46),CD46,IF(AND($C$78=$AH$3,OR($L$78=$BK$3,$L$78=$BL$3,$L$78=$BM$3),$G$78=$CA$47),CD47,IF(AND($C$78=$AH$3,OR($L$78=$BK$3,$L$78=$BL$3,$L$78=$BM$3),$G$78=$CA$48),CD48,IF(AND($C$78=$AH$3,OR($L$78=$BK$3,$L$78=$BL$3,$L$78=$BM$3),$G$78=$CA$49),CD49,IF(AND($C$78=$AH$3,OR($L$78=$BK$3,$L$78=$BL$3,$L$78=$BM$3),$G$78=$CA$50),CD50,IF(AND($C$78=$AH$3,OR($L$78=$BK$3,$L$78=$BL$3,$L$78=$BM$3),$G$78=$CA$51),CD51,IF(AND($C$78=$AH$3,OR($L$78=$BK$3,$L$78=$BL$3,$L$78=$BM$3),$G$78=$CA$52),CD52,IF(AND($C$78=$AH$3,OR($L$78=$BK$3,$L$78=$BL$3,$L$78=$BM$3),$G$78=$CA$53),CD53,IF(AND($C$78=$AH$3,OR($L$78=$BK$3,$L$78=$BL$3,$L$78=$BM$3),$G$78=$CA$54),CD54,IF(AND($C$78=$AH$3,OR($L$78=$BK$3,$L$78=$BL$3,$L$78=$BM$3),$G$78=$CA$55),CD55,IF(AND($C$78=$AH$3,OR($L$78=$BK$3,$L$78=$BL$3,$L$78=$BM$3),$G$78=$CA$56),CD56,IF(AND($C$78=$AH$3,OR($L$78=$BK$3,$L$78=$BL$3,$L$78=$BM$3),$G$78=$CA$57),CD57,IF(AND($C$78=$AH$3,OR($L$78=$BK$3,$L$78=$BL$3,$L$78=$BM$3),$G$78=$CA$58),CD58,IF(AND($C$78=$AH$3,OR($L$78=$BK$3,$L$78=$BL$3,$L$78=$BM$3),$G$78=$CA$59),CD59,IF(AND($C$78=$AH$3,OR($L$78=$BK$3,$L$78=$BL$3,$L$78=$BM$3),$G$78=$CA$60),CD60,IF(AND($C$78=$AH$3,OR($L$78=$BK$3,$L$78=$BL$3,$L$78=$BM$3),$G$78=$CA$61),CD61,IF(AND($C$78=$AH$3,OR($L$78=$BK$3,$L$78=$BL$3,$L$78=$BM$3),$G$78=$CA$62),CD62,0))))))))))))))))))))))</f>
        <v>0</v>
      </c>
      <c r="BL36" s="407">
        <f>IF(AND($C$78=$AH$3,OR($L$78=$BL$3,$L$78=$BM$3),$G$78=$CA$41),CE41,IF(AND($C$78=$AH$3,OR($L$78=$BL$3,$L$78=$BM$3),$G$78=$CA$42),CE42,IF(AND($C$78=$AH$3,OR($L$78=$BL$3,$L$78=$BM$3),$G$78=$CA$43),CE43,IF(AND($C$78=$AH$3,OR($L$78=$BL$3,$L$78=$BM$3),$G$78=$CA$44),CE44,IF(AND($C$78=$AH$3,OR($L$78=$BL$3,$L$78=$BM$3),$G$78=$CA$45),CE45,IF(AND($C$78=$AH$3,OR($L$78=$BL$3,$L$78=$BM$3),$G$78=$CA$46),CE46,IF(AND($C$78=$AH$3,OR($L$78=$BL$3,$L$78=$BM$3),$G$78=$CA$47),CE47,IF(AND($C$78=$AH$3,OR($L$78=$BL$3,$L$78=$BM$3),$G$78=$CA$48),CE48,IF(AND($C$78=$AH$3,OR($L$78=$BL$3,$L$78=$BM$3),$G$78=$CA$49),CE49,IF(AND($C$78=$AH$3,OR($L$78=$BL$3,$L$78=$BM$3),$G$78=$CA$50),CE50,IF(AND($C$78=$AH$3,OR($L$78=$BL$3,$L$78=$BM$3),$G$78=$CA$51),CE51,IF(AND($C$78=$AH$3,OR($L$78=$BL$3,$L$78=$BM$3),$G$78=$CA$52),CE52,IF(AND($C$78=$AH$3,OR($L$78=$BL$3,$L$78=$BM$3),$G$78=$CA$53),CE53,IF(AND($C$78=$AH$3,OR($L$78=$BL$3,$L$78=$BM$3),$G$78=$CA$54),CE54,IF(AND($C$78=$AH$3,OR($L$78=$BL$3,$L$78=$BM$3),$G$78=$CA$55),CE55,IF(AND($C$78=$AH$3,OR($L$78=$BL$3,$L$78=$BM$3),$G$78=$CA$56),CE56,IF(AND($C$78=$AH$3,OR($L$78=$BL$3,$L$78=$BM$3),$G$78=$CA$57),CE57,IF(AND($C$78=$AH$3,OR($L$78=$BL$3,$L$78=$BM$3),$G$78=$CA$58),CE58,IF(AND($C$78=$AH$3,OR($L$78=$BL$3,$L$78=$BM$3),$G$78=$CA$59),CE59,IF(AND($C$78=$AH$3,OR($L$78=$BL$3,$L$78=$BM$3),$G$78=$CA$60),CE60,IF(AND($C$78=$AH$3,OR($L$78=$BL$3,$L$78=$BM$3),$G$78=$CA$61),CE61,IF(AND($C$78=$AH$3,OR($L$78=$BL$3,$L$78=$BM$3),$G$78=$CA$62),CE62,0))))))))))))))))))))))</f>
        <v>0</v>
      </c>
      <c r="BM36" s="407">
        <f>IF(AND($C$78=$AH$3,OR($L$78=$BM$3),$G$78=$CA$41),CF41,IF(AND($C$78=$AH$3,OR($L$78=$BM$3),$G$78=$CA$42),CF42,IF(AND($C$78=$AH$3,OR($L$78=$BM$3),$G$78=$CA$43),CF43,IF(AND($C$78=$AH$3,OR($L$78=$BM$3),$G$78=$CA$44),CF44,IF(AND($C$78=$AH$3,OR($L$78=$BM$3),$G$78=$CA$45),CF45,IF(AND($C$78=$AH$3,OR($L$78=$BM$3),$G$78=$CA$46),CF46,IF(AND($C$78=$AH$3,OR($L$78=$BM$3),$G$78=$CA$47),CF47,IF(AND($C$78=$AH$3,OR($L$78=$BM$3),$G$78=$CA$48),CF48,IF(AND($C$78=$AH$3,OR($L$78=$BM$3),$G$78=$CA$49),CF49,IF(AND($C$78=$AH$3,OR($L$78=$BM$3),$G$78=$CA$50),CF50,IF(AND($C$78=$AH$3,OR($L$78=$BM$3),$G$78=$CA$51),CF51,IF(AND($C$78=$AH$3,OR($L$78=$BM$3),$G$78=$CA$52),CF52,IF(AND($C$78=$AH$3,OR($L$78=$BM$3),$G$78=$CA$53),CF53,IF(AND($C$78=$AH$3,OR($L$78=$BM$3),$G$78=$CA$54),CF54,IF(AND($C$78=$AH$3,OR($L$78=$BM$3),$G$78=$CA$55),CF55,IF(AND($C$78=$AH$3,OR($L$78=$BM$3),$G$78=$CA$56),CF56,IF(AND($C$78=$AH$3,OR($L$78=$BM$3),$G$78=$CA$57),CF57,IF(AND($C$78=$AH$3,OR($L$78=$BM$3),$G$78=$CA$58),CF58,IF(AND($C$78=$AH$3,OR($L$78=$BM$3),$G$78=$CA$59),CF59,IF(AND($C$78=$AH$3,OR($L$78=$BM$3),$G$78=$CA$60),CF60,IF(AND($C$78=$AH$3,OR($L$78=$BM$3),$G$78=$CA$61),CF61,IF(AND($C$78=$AH$3,OR($L$78=$BM$3),$G$78=$CA$62),CF62,0))))))))))))))))))))))</f>
        <v>0</v>
      </c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6"/>
      <c r="CA36" s="397"/>
      <c r="CB36" s="405" t="s">
        <v>875</v>
      </c>
      <c r="CC36" s="405" t="s">
        <v>876</v>
      </c>
      <c r="CD36" s="405" t="s">
        <v>877</v>
      </c>
      <c r="CE36" s="405" t="s">
        <v>878</v>
      </c>
      <c r="CF36" s="405" t="s">
        <v>879</v>
      </c>
      <c r="CG36" s="233"/>
      <c r="CH36" s="233"/>
      <c r="CI36" s="233"/>
      <c r="CJ36" s="233"/>
      <c r="CK36" s="233"/>
      <c r="CL36" s="233"/>
      <c r="CM36" s="233"/>
      <c r="CN36" s="361" t="str">
        <f t="shared" si="2"/>
        <v xml:space="preserve"> </v>
      </c>
      <c r="CO36" s="361" t="str">
        <f t="shared" si="3"/>
        <v xml:space="preserve"> </v>
      </c>
      <c r="CP36" s="361" t="str">
        <f t="shared" si="4"/>
        <v xml:space="preserve"> </v>
      </c>
      <c r="CQ36" s="361" t="str">
        <f t="shared" si="5"/>
        <v xml:space="preserve"> </v>
      </c>
      <c r="CR36" s="361" t="str">
        <f t="shared" si="6"/>
        <v xml:space="preserve"> </v>
      </c>
      <c r="CS36" s="233" t="s">
        <v>935</v>
      </c>
      <c r="CT36" s="233"/>
      <c r="CU36" s="233"/>
      <c r="CV36" s="233" t="s">
        <v>1014</v>
      </c>
      <c r="CW36" s="233"/>
      <c r="CX36" s="233"/>
      <c r="CY36" s="233" t="s">
        <v>926</v>
      </c>
      <c r="CZ36" s="233"/>
      <c r="DA36" s="339" t="s">
        <v>1449</v>
      </c>
      <c r="DB36" s="233"/>
      <c r="DC36" s="233" t="s">
        <v>1221</v>
      </c>
      <c r="DD36" s="233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419" t="s">
        <v>1646</v>
      </c>
      <c r="DT36" s="422">
        <v>7025</v>
      </c>
      <c r="DU36" s="420">
        <v>2</v>
      </c>
      <c r="DV36" s="420">
        <v>55</v>
      </c>
      <c r="DW36" s="420">
        <v>1</v>
      </c>
      <c r="DX36" s="420" t="s">
        <v>1598</v>
      </c>
      <c r="DY36" s="420">
        <v>45</v>
      </c>
      <c r="DZ36" s="420" t="s">
        <v>1606</v>
      </c>
      <c r="EA36" s="29">
        <v>29</v>
      </c>
      <c r="EB36" s="413" t="str">
        <f t="shared" si="43"/>
        <v>General Medium Armor</v>
      </c>
      <c r="EC36" s="432">
        <f t="shared" si="44"/>
        <v>2</v>
      </c>
      <c r="ED36" s="432">
        <f t="shared" si="45"/>
        <v>40</v>
      </c>
      <c r="EE36" s="432">
        <f t="shared" si="46"/>
        <v>4</v>
      </c>
      <c r="EF36" s="432" t="str">
        <f t="shared" si="47"/>
        <v>V; C; S; A; L</v>
      </c>
      <c r="EG36" s="432">
        <f t="shared" si="48"/>
        <v>40</v>
      </c>
      <c r="EH36" s="97">
        <f t="shared" si="36"/>
        <v>0</v>
      </c>
      <c r="EI36" s="97">
        <f t="shared" si="37"/>
        <v>0</v>
      </c>
      <c r="EJ36" s="97">
        <f t="shared" si="38"/>
        <v>0</v>
      </c>
      <c r="EK36" s="97">
        <f t="shared" si="39"/>
        <v>0</v>
      </c>
      <c r="EL36" s="97">
        <f t="shared" si="40"/>
        <v>0</v>
      </c>
      <c r="EM36" s="29"/>
      <c r="EN36" s="29"/>
      <c r="EO36" s="29"/>
      <c r="EP36" s="29"/>
      <c r="EQ36" s="29"/>
      <c r="ER36" s="29"/>
      <c r="ES36" s="29"/>
      <c r="ET36" s="29"/>
      <c r="EU36" s="29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</row>
    <row r="37" spans="1:168" ht="15.95" customHeight="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438"/>
      <c r="Y37" s="438"/>
      <c r="Z37" s="438"/>
      <c r="AA37" s="438"/>
      <c r="AB37" s="438"/>
      <c r="AC37" s="438"/>
      <c r="AD37" s="438"/>
      <c r="AE37" s="438"/>
      <c r="AF37" s="438"/>
      <c r="AG37" s="30"/>
      <c r="AH37" s="29"/>
      <c r="AI37" s="29"/>
      <c r="AJ37" s="29"/>
      <c r="AK37" s="29"/>
      <c r="AL37" s="29"/>
      <c r="AM37" s="376" t="str">
        <f t="shared" si="41"/>
        <v xml:space="preserve"> </v>
      </c>
      <c r="AN37" s="29"/>
      <c r="AO37" s="439"/>
      <c r="AP37" s="433"/>
      <c r="AQ37" s="434"/>
      <c r="AR37" s="29"/>
      <c r="AS37" s="29"/>
      <c r="AT37" s="375" t="s">
        <v>803</v>
      </c>
      <c r="AU37" s="375" t="s">
        <v>541</v>
      </c>
      <c r="AV37" s="375" t="s">
        <v>509</v>
      </c>
      <c r="AW37" s="375">
        <v>20</v>
      </c>
      <c r="AX37" s="375">
        <v>2</v>
      </c>
      <c r="AY37" s="375">
        <v>7</v>
      </c>
      <c r="AZ37" s="375" t="s">
        <v>434</v>
      </c>
      <c r="BA37" s="375">
        <v>6</v>
      </c>
      <c r="BB37" s="375">
        <v>-3</v>
      </c>
      <c r="BC37" s="375">
        <v>36</v>
      </c>
      <c r="BD37" s="375">
        <v>50</v>
      </c>
      <c r="BE37" s="375">
        <f>IF(BF37&lt;=4,BF37-1,IF(OR(BF37=5,BF37=6,BF37=6.5),BF37-1.5,IF(OR(BF37=7,BF37=8),BF37-2,IF(OR(BF37=9,BF37=10),BF37-2.5,IF(OR(BF37=11,BF37=12,BF37=13),BF37-3,IF(OR(BF37=14,BF37=15,BF37=16),BF37-4,IF(OR(BF37=17,BF37=18),BF37-5,IF(BF37&gt;=19,BF37-6,0))))))))</f>
        <v>3</v>
      </c>
      <c r="BF37" s="375">
        <v>4</v>
      </c>
      <c r="BG37" s="29"/>
      <c r="BH37" s="29"/>
      <c r="BI37" s="409"/>
      <c r="BJ37" s="437"/>
      <c r="BK37" s="437"/>
      <c r="BL37" s="437"/>
      <c r="BM37" s="437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6"/>
      <c r="CA37" s="397"/>
      <c r="CB37" s="397"/>
      <c r="CC37" s="397"/>
      <c r="CD37" s="397"/>
      <c r="CE37" s="397"/>
      <c r="CF37" s="397"/>
      <c r="CG37" s="233"/>
      <c r="CH37" s="233"/>
      <c r="CI37" s="233"/>
      <c r="CJ37" s="233"/>
      <c r="CK37" s="233"/>
      <c r="CL37" s="233"/>
      <c r="CM37" s="233"/>
      <c r="CN37" s="361" t="str">
        <f t="shared" ref="CN37:CN53" si="51">IF($CI$2=1,CS37,IF($CI$2=2,CV37,IF($CI$2=3,CY37,IF($CI$2=4,DA37,IF($CI$2=5,DC37," ")))))</f>
        <v xml:space="preserve"> </v>
      </c>
      <c r="CO37" s="361" t="str">
        <f t="shared" ref="CO37:CO53" si="52">IF($CI$3=1,CS37,IF($CI$3=2,CV37,IF($CI$3=3,CY37,IF($CI$3=4,DA37,IF($CI$3=5,DC37," ")))))</f>
        <v xml:space="preserve"> </v>
      </c>
      <c r="CP37" s="361" t="str">
        <f t="shared" ref="CP37:CP53" si="53">IF($CI$4=1,CS37,IF($CI$4=2,CV37,IF($CI$4=3,CY37,IF($CI$4=4,DA37,IF($CI$4=5,DC37," ")))))</f>
        <v xml:space="preserve"> </v>
      </c>
      <c r="CQ37" s="361" t="str">
        <f t="shared" ref="CQ37:CQ53" si="54">IF($CI$5=1,CS37,IF($CI$5=2,CV37,IF($CI$5=3,CY37,IF($CI$5=4,DA37,IF($CI$5=5,DC37," ")))))</f>
        <v xml:space="preserve"> </v>
      </c>
      <c r="CR37" s="361" t="str">
        <f t="shared" ref="CR37:CR53" si="55">IF($CI$6=1,CS37,IF($CI$6=2,CV37,IF($CI$6=3,CY37,IF($CI$6=4,DA37,IF($CI$6=5,DC37," ")))))</f>
        <v xml:space="preserve"> </v>
      </c>
      <c r="CS37" s="233" t="s">
        <v>934</v>
      </c>
      <c r="CT37" s="233"/>
      <c r="CU37" s="233"/>
      <c r="CV37" s="233" t="s">
        <v>1448</v>
      </c>
      <c r="CW37" s="233"/>
      <c r="CX37" s="233"/>
      <c r="CY37" s="233" t="s">
        <v>927</v>
      </c>
      <c r="CZ37" s="233"/>
      <c r="DA37" s="339" t="s">
        <v>1450</v>
      </c>
      <c r="DB37" s="233"/>
      <c r="DC37" s="233" t="s">
        <v>1220</v>
      </c>
      <c r="DD37" s="233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419"/>
      <c r="DT37" s="422"/>
      <c r="DU37" s="420"/>
      <c r="DV37" s="420"/>
      <c r="DW37" s="420"/>
      <c r="DX37" s="420"/>
      <c r="DY37" s="420"/>
      <c r="DZ37" s="420"/>
      <c r="EA37" s="29"/>
      <c r="EB37" s="413" t="str">
        <f>DS36</f>
        <v>Heleus Medium</v>
      </c>
      <c r="EC37" s="432">
        <f>DU36</f>
        <v>2</v>
      </c>
      <c r="ED37" s="432">
        <f>DV36</f>
        <v>55</v>
      </c>
      <c r="EE37" s="432">
        <f>DW36</f>
        <v>1</v>
      </c>
      <c r="EF37" s="432" t="str">
        <f>DX36</f>
        <v>V; A</v>
      </c>
      <c r="EG37" s="432">
        <f>DY36</f>
        <v>45</v>
      </c>
      <c r="EH37" s="97">
        <f t="shared" ref="EH37:EH45" si="56">IF($AB$27=EB37,EC37,0)</f>
        <v>0</v>
      </c>
      <c r="EI37" s="97">
        <f t="shared" ref="EI37:EI45" si="57">IF($AB$27=EB37,ED37,0)</f>
        <v>0</v>
      </c>
      <c r="EJ37" s="97">
        <f t="shared" ref="EJ37:EJ45" si="58">IF($AB$27=EB37,EE37,0)</f>
        <v>0</v>
      </c>
      <c r="EK37" s="97">
        <f t="shared" ref="EK37:EK45" si="59">IF($AB$27=EB37,EF37,0)</f>
        <v>0</v>
      </c>
      <c r="EL37" s="97">
        <f t="shared" ref="EL37:EL45" si="60">IF($AB$27=EB37,EG37,0)</f>
        <v>0</v>
      </c>
      <c r="EM37" s="29"/>
      <c r="EN37" s="29"/>
      <c r="EO37" s="29"/>
      <c r="EP37" s="29"/>
      <c r="EQ37" s="29"/>
      <c r="ER37" s="29"/>
      <c r="ES37" s="29"/>
      <c r="ET37" s="29"/>
      <c r="EU37" s="29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</row>
    <row r="38" spans="1:168" ht="15.95" customHeight="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497" t="s">
        <v>1689</v>
      </c>
      <c r="S38" s="497"/>
      <c r="T38" s="497"/>
      <c r="U38" s="497"/>
      <c r="V38" s="516"/>
      <c r="W38" s="516"/>
      <c r="X38" s="30"/>
      <c r="Y38" s="497" t="s">
        <v>1690</v>
      </c>
      <c r="Z38" s="497"/>
      <c r="AA38" s="497"/>
      <c r="AB38" s="453"/>
      <c r="AC38" s="438"/>
      <c r="AD38" s="497" t="s">
        <v>1691</v>
      </c>
      <c r="AE38" s="497"/>
      <c r="AF38" s="453"/>
      <c r="AG38" s="30"/>
      <c r="AH38" s="29"/>
      <c r="AI38" s="29"/>
      <c r="AJ38" s="29"/>
      <c r="AK38" s="29"/>
      <c r="AL38" s="29"/>
      <c r="AM38" s="376" t="str">
        <f t="shared" si="41"/>
        <v xml:space="preserve"> </v>
      </c>
      <c r="AN38" s="29"/>
      <c r="AO38" s="439"/>
      <c r="AP38" s="433"/>
      <c r="AQ38" s="434"/>
      <c r="AR38" s="29"/>
      <c r="AS38" s="29"/>
      <c r="AT38" s="375" t="s">
        <v>804</v>
      </c>
      <c r="AU38" s="375" t="s">
        <v>540</v>
      </c>
      <c r="AV38" s="375" t="s">
        <v>541</v>
      </c>
      <c r="AW38" s="375">
        <v>20</v>
      </c>
      <c r="AX38" s="375">
        <v>2</v>
      </c>
      <c r="AY38" s="375">
        <v>9</v>
      </c>
      <c r="AZ38" s="375" t="s">
        <v>909</v>
      </c>
      <c r="BA38" s="375">
        <v>10</v>
      </c>
      <c r="BB38" s="375">
        <v>-4</v>
      </c>
      <c r="BC38" s="375">
        <v>50</v>
      </c>
      <c r="BD38" s="375">
        <v>40</v>
      </c>
      <c r="BE38" s="375">
        <f>IF(BF38&lt;=4,BF38-1,IF(OR(BF38=5,BF38=6,BF38=6.5),BF38-1.5,IF(OR(BF38=7,BF38=8),BF38-2,IF(OR(BF38=9,BF38=10),BF38-2.5,IF(OR(BF38=11,BF38=12,BF38=13),BF38-3,IF(OR(BF38=14,BF38=15,BF38=16),BF38-4,IF(OR(BF38=17,BF38=18),BF38-5,IF(BF38&gt;=19,BF38-6,0))))))))</f>
        <v>3</v>
      </c>
      <c r="BF38" s="375">
        <v>4</v>
      </c>
      <c r="BG38" s="29"/>
      <c r="BH38" s="29"/>
      <c r="BI38" s="409"/>
      <c r="BJ38" s="437"/>
      <c r="BK38" s="437"/>
      <c r="BL38" s="437"/>
      <c r="BM38" s="437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6"/>
      <c r="CA38" s="397"/>
      <c r="CB38" s="397"/>
      <c r="CC38" s="397"/>
      <c r="CD38" s="397"/>
      <c r="CE38" s="397"/>
      <c r="CF38" s="397"/>
      <c r="CG38" s="233"/>
      <c r="CH38" s="233"/>
      <c r="CI38" s="233"/>
      <c r="CJ38" s="233"/>
      <c r="CK38" s="233"/>
      <c r="CL38" s="233"/>
      <c r="CM38" s="233"/>
      <c r="CN38" s="361" t="str">
        <f t="shared" si="51"/>
        <v xml:space="preserve"> </v>
      </c>
      <c r="CO38" s="361" t="str">
        <f t="shared" si="52"/>
        <v xml:space="preserve"> </v>
      </c>
      <c r="CP38" s="361" t="str">
        <f t="shared" si="53"/>
        <v xml:space="preserve"> </v>
      </c>
      <c r="CQ38" s="361" t="str">
        <f t="shared" si="54"/>
        <v xml:space="preserve"> </v>
      </c>
      <c r="CR38" s="361" t="str">
        <f t="shared" si="55"/>
        <v xml:space="preserve"> </v>
      </c>
      <c r="CS38" s="233" t="s">
        <v>933</v>
      </c>
      <c r="CT38" s="233"/>
      <c r="CU38" s="233"/>
      <c r="CV38" s="233" t="s">
        <v>1449</v>
      </c>
      <c r="CW38" s="233"/>
      <c r="CX38" s="233"/>
      <c r="CY38" s="233" t="s">
        <v>1587</v>
      </c>
      <c r="CZ38" s="233"/>
      <c r="DA38" s="339" t="s">
        <v>1451</v>
      </c>
      <c r="DB38" s="233"/>
      <c r="DC38" s="339" t="s">
        <v>1448</v>
      </c>
      <c r="DD38" s="233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419"/>
      <c r="DT38" s="422"/>
      <c r="DU38" s="420"/>
      <c r="DV38" s="420"/>
      <c r="DW38" s="420"/>
      <c r="DX38" s="420"/>
      <c r="DY38" s="420"/>
      <c r="DZ38" s="420"/>
      <c r="EA38" s="29"/>
      <c r="EB38" s="413" t="str">
        <f t="shared" ref="EB38:EB51" si="61">DS40</f>
        <v>Scorpion Medium</v>
      </c>
      <c r="EC38" s="432">
        <f t="shared" ref="EC38:EC51" si="62">DU40</f>
        <v>3</v>
      </c>
      <c r="ED38" s="432">
        <f t="shared" ref="ED38:ED51" si="63">DV40</f>
        <v>40</v>
      </c>
      <c r="EE38" s="432">
        <f t="shared" ref="EE38:EE51" si="64">DW40</f>
        <v>3</v>
      </c>
      <c r="EF38" s="432">
        <f t="shared" ref="EF38:EF51" si="65">DX40</f>
        <v>0</v>
      </c>
      <c r="EG38" s="432">
        <f t="shared" ref="EG38:EG51" si="66">DY40</f>
        <v>51</v>
      </c>
      <c r="EH38" s="97">
        <f t="shared" si="56"/>
        <v>0</v>
      </c>
      <c r="EI38" s="97">
        <f t="shared" si="57"/>
        <v>0</v>
      </c>
      <c r="EJ38" s="97">
        <f t="shared" si="58"/>
        <v>0</v>
      </c>
      <c r="EK38" s="97">
        <f t="shared" si="59"/>
        <v>0</v>
      </c>
      <c r="EL38" s="97">
        <f t="shared" si="60"/>
        <v>0</v>
      </c>
      <c r="EM38" s="29"/>
      <c r="EN38" s="29"/>
      <c r="EO38" s="29"/>
      <c r="EP38" s="29"/>
      <c r="EQ38" s="29"/>
      <c r="ER38" s="29"/>
      <c r="ES38" s="29"/>
      <c r="ET38" s="29"/>
      <c r="EU38" s="29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</row>
    <row r="39" spans="1:168" ht="15.95" customHeight="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30"/>
      <c r="AH39" s="29"/>
      <c r="AI39" s="29"/>
      <c r="AJ39" s="29"/>
      <c r="AK39" s="29"/>
      <c r="AL39" s="29"/>
      <c r="AM39" s="376" t="str">
        <f t="shared" ref="AM39:AM51" si="67">IF($C$54=$AH$1,AT13,IF($C$54=$AH$2,AT47,IF($C$54=$AH$3,AT78,IF($C$54=$AH$4,AT109,IF($C$54=$AH$5,AT140,IF($C$54=$AH$6,AT171,IF($C$54=$AH$7,"Ranged Touch"," ")))))))</f>
        <v xml:space="preserve"> </v>
      </c>
      <c r="AN39" s="29"/>
      <c r="AO39" s="439"/>
      <c r="AP39" s="433"/>
      <c r="AQ39" s="434"/>
      <c r="AR39" s="29"/>
      <c r="AS39" s="29"/>
      <c r="AT39" s="375" t="s">
        <v>805</v>
      </c>
      <c r="AU39" s="375" t="s">
        <v>541</v>
      </c>
      <c r="AV39" s="375" t="s">
        <v>799</v>
      </c>
      <c r="AW39" s="375">
        <v>19</v>
      </c>
      <c r="AX39" s="375">
        <v>2</v>
      </c>
      <c r="AY39" s="375">
        <v>9</v>
      </c>
      <c r="AZ39" s="375" t="s">
        <v>909</v>
      </c>
      <c r="BA39" s="375">
        <v>5</v>
      </c>
      <c r="BB39" s="375">
        <v>-3</v>
      </c>
      <c r="BC39" s="375">
        <v>20</v>
      </c>
      <c r="BD39" s="375">
        <v>60</v>
      </c>
      <c r="BE39" s="375">
        <f>IF(BF39&lt;=4,BF39-1,IF(OR(BF39=5,BF39=6,BF39=6.5),BF39-1.5,IF(OR(BF39=7,BF39=8),BF39-2,IF(OR(BF39=9,BF39=10),BF39-2.5,IF(OR(BF39=11,BF39=12,BF39=13),BF39-3,IF(OR(BF39=14,BF39=15,BF39=16),BF39-4,IF(OR(BF39=17,BF39=18),BF39-5,IF(BF39&gt;=19,BF39-6,0))))))))</f>
        <v>3.5</v>
      </c>
      <c r="BF39" s="375">
        <v>5</v>
      </c>
      <c r="BG39" s="29"/>
      <c r="BH39" s="29"/>
      <c r="BI39" s="409"/>
      <c r="BJ39" s="437"/>
      <c r="BK39" s="437"/>
      <c r="BL39" s="437"/>
      <c r="BM39" s="437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6"/>
      <c r="CA39" s="397"/>
      <c r="CB39" s="397"/>
      <c r="CC39" s="397"/>
      <c r="CD39" s="397"/>
      <c r="CE39" s="397"/>
      <c r="CF39" s="397"/>
      <c r="CG39" s="233"/>
      <c r="CH39" s="233"/>
      <c r="CI39" s="233"/>
      <c r="CJ39" s="233"/>
      <c r="CK39" s="233"/>
      <c r="CL39" s="233"/>
      <c r="CM39" s="233"/>
      <c r="CN39" s="361" t="str">
        <f t="shared" si="51"/>
        <v xml:space="preserve"> </v>
      </c>
      <c r="CO39" s="361" t="str">
        <f t="shared" si="52"/>
        <v xml:space="preserve"> </v>
      </c>
      <c r="CP39" s="361" t="str">
        <f t="shared" si="53"/>
        <v xml:space="preserve"> </v>
      </c>
      <c r="CQ39" s="361" t="str">
        <f t="shared" si="54"/>
        <v xml:space="preserve"> </v>
      </c>
      <c r="CR39" s="361" t="str">
        <f t="shared" si="55"/>
        <v xml:space="preserve"> </v>
      </c>
      <c r="CS39" s="233" t="s">
        <v>931</v>
      </c>
      <c r="CT39" s="233"/>
      <c r="CU39" s="233"/>
      <c r="CV39" s="233" t="s">
        <v>1450</v>
      </c>
      <c r="CW39" s="233"/>
      <c r="CX39" s="233"/>
      <c r="CY39" s="339" t="s">
        <v>1448</v>
      </c>
      <c r="CZ39" s="233"/>
      <c r="DA39" s="339" t="s">
        <v>1452</v>
      </c>
      <c r="DB39" s="233"/>
      <c r="DC39" s="339" t="s">
        <v>1449</v>
      </c>
      <c r="DD39" s="233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419"/>
      <c r="DT39" s="422"/>
      <c r="DU39" s="420"/>
      <c r="DV39" s="420"/>
      <c r="DW39" s="420"/>
      <c r="DX39" s="420"/>
      <c r="DY39" s="420"/>
      <c r="DZ39" s="420"/>
      <c r="EA39" s="29"/>
      <c r="EB39" s="413" t="str">
        <f t="shared" si="61"/>
        <v>Rosenkov Medium</v>
      </c>
      <c r="EC39" s="432">
        <f t="shared" si="62"/>
        <v>2</v>
      </c>
      <c r="ED39" s="432">
        <f t="shared" si="63"/>
        <v>50</v>
      </c>
      <c r="EE39" s="432">
        <f t="shared" si="64"/>
        <v>2</v>
      </c>
      <c r="EF39" s="432">
        <f t="shared" si="65"/>
        <v>0</v>
      </c>
      <c r="EG39" s="432">
        <f t="shared" si="66"/>
        <v>50</v>
      </c>
      <c r="EH39" s="97">
        <f t="shared" si="56"/>
        <v>0</v>
      </c>
      <c r="EI39" s="97">
        <f t="shared" si="57"/>
        <v>0</v>
      </c>
      <c r="EJ39" s="97">
        <f t="shared" si="58"/>
        <v>0</v>
      </c>
      <c r="EK39" s="97">
        <f t="shared" si="59"/>
        <v>0</v>
      </c>
      <c r="EL39" s="97">
        <f t="shared" si="60"/>
        <v>0</v>
      </c>
      <c r="EM39" s="29"/>
      <c r="EN39" s="29"/>
      <c r="EO39" s="29"/>
      <c r="EP39" s="29"/>
      <c r="EQ39" s="29"/>
      <c r="ER39" s="29"/>
      <c r="ES39" s="29"/>
      <c r="ET39" s="29"/>
      <c r="EU39" s="29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</row>
    <row r="40" spans="1:168" ht="15.95" customHeigh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>
        <v>9</v>
      </c>
      <c r="AM40" s="376" t="str">
        <f t="shared" si="67"/>
        <v xml:space="preserve"> </v>
      </c>
      <c r="AN40" s="29"/>
      <c r="AO40" s="386" t="s">
        <v>1570</v>
      </c>
      <c r="AP40" s="469" t="str">
        <f>AQ41&amp;"20/×"&amp;AP42</f>
        <v>0-20/×0</v>
      </c>
      <c r="AQ40" s="470"/>
      <c r="AR40" s="29"/>
      <c r="AS40" s="29">
        <v>4</v>
      </c>
      <c r="AT40" s="375" t="s">
        <v>806</v>
      </c>
      <c r="AU40" s="375" t="s">
        <v>799</v>
      </c>
      <c r="AV40" s="375" t="s">
        <v>509</v>
      </c>
      <c r="AW40" s="375">
        <v>19</v>
      </c>
      <c r="AX40" s="375">
        <v>3</v>
      </c>
      <c r="AY40" s="375">
        <v>13</v>
      </c>
      <c r="AZ40" s="375" t="s">
        <v>434</v>
      </c>
      <c r="BA40" s="375">
        <v>3</v>
      </c>
      <c r="BB40" s="375">
        <v>-5</v>
      </c>
      <c r="BC40" s="375">
        <v>24</v>
      </c>
      <c r="BD40" s="375">
        <v>70</v>
      </c>
      <c r="BE40" s="375">
        <f>IF(BF40&lt;=4,BF40-1,IF(OR(BF40=5,BF40=6,BF40=6.5),BF40-1.5,IF(OR(BF40=7,BF40=8),BF40-2,IF(OR(BF40=9,BF40=10),BF40-2.5,IF(OR(BF40=11,BF40=12,BF40=13),BF40-3,IF(OR(BF40=14,BF40=15,BF40=16),BF40-4,IF(OR(BF40=17,BF40=18),BF40-5,IF(BF40&gt;=19,BF40-6,0))))))))</f>
        <v>5</v>
      </c>
      <c r="BF40" s="375">
        <v>7</v>
      </c>
      <c r="BG40" s="29"/>
      <c r="BH40" s="29"/>
      <c r="BI40" s="409" t="s">
        <v>1535</v>
      </c>
      <c r="BJ40" s="407">
        <f>IF(AND($C$78=$AH$4,OR($L$78=$BJ$3,$L$78=$BK$3,$L$78=$BL$3,$L$78=$BM$3),$G$78=$CA$67),CC67,IF(AND($C$78=$AH$4,OR($L$78=$BJ$3,$L$78=$BK$3,$L$78=$BL$3,$L$78=$BM$3),$G$78=$CA$68),CC68,IF(AND($C$78=$AH$4,OR($L$78=$BJ$3,$L$78=$BK$3,$L$78=$BL$3,$L$78=$BM$3),$G$78=$CA$69),CC69,IF(AND($C$78=$AH$4,OR($L$78=$BJ$3,$L$78=$BK$3,$L$78=$BL$3,$L$78=$BM$3),$G$78=$CA$70),CC70,IF(AND($C$78=$AH$4,OR($L$78=$BJ$3,$L$78=$BK$3,$L$78=$BL$3,$L$78=$BM$3),$G$78=$CA$71),CC71,IF(AND($C$78=$AH$4,OR($L$78=$BJ$3,$L$78=$BK$3,$L$78=$BL$3,$L$78=$BM$3),$G$78=$CA$72),CC72,IF(AND($C$78=$AH$4,OR($L$78=$BJ$3,$L$78=$BK$3,$L$78=$BL$3,$L$78=$BM$3),$G$78=$CA$73),CC73,IF(AND($C$78=$AH$4,OR($L$78=$BJ$3,$L$78=$BK$3,$L$78=$BL$3,$L$78=$BM$3),$G$78=$CA$74),CC74,IF(AND($C$78=$AH$4,OR($L$78=$BJ$3,$L$78=$BK$3,$L$78=$BL$3,$L$78=$BM$3),$G$78=$CA$75),CC75,IF(AND($C$78=$AH$4,OR($L$78=$BJ$3,$L$78=$BK$3,$L$78=$BL$3,$L$78=$BM$3),$G$78=$CA$76),CC76,IF(AND($C$78=$AH$4,OR($L$78=$BJ$3,$L$78=$BK$3,$L$78=$BL$3,$L$78=$BM$3),$G$78=$CA$77),CC77,IF(AND($C$78=$AH$4,OR($L$78=$BJ$3,$L$78=$BK$3,$L$78=$BL$3,$L$78=$BM$3),$G$78=$CA$78),CC78,IF(AND($C$78=$AH$4,OR($L$78=$BJ$3,$L$78=$BK$3,$L$78=$BL$3,$L$78=$BM$3),$G$78=$CA$79),CC79,IF(AND($C$78=$AH$4,OR($L$78=$BJ$3,$L$78=$BK$3,$L$78=$BL$3,$L$78=$BM$3),$G$78=$CA$80),CC80,IF(AND($C$78=$AH$4,OR($L$78=$BJ$3,$L$78=$BK$3,$L$78=$BL$3,$L$78=$BM$3),$G$78=$CA$81),CC81,IF(AND($C$78=$AH$4,OR($L$78=$BJ$3,$L$78=$BK$3,$L$78=$BL$3,$L$78=$BM$3),$G$78=$CA$82),CC82,IF(AND($C$78=$AH$4,OR($L$78=$BJ$3,$L$78=$BK$3,$L$78=$BL$3,$L$78=$BM$3),$G$78=$CA$83),CC83,0)))))))))))))))))</f>
        <v>0</v>
      </c>
      <c r="BK40" s="407">
        <f>IF(AND($C$78=$AH$4,OR($L$78=$BK$3,$L$78=$BL$3,$L$78=$BM$3),$G$78=$CA$67),CD67,IF(AND($C$78=$AH$4,OR($L$78=$BK$3,$L$78=$BL$3,$L$78=$BM$3),$G$78=$CA$68),CD68,IF(AND($C$78=$AH$4,OR($L$78=$BK$3,$L$78=$BL$3,$L$78=$BM$3),$G$78=$CA$69),CD69,IF(AND($C$78=$AH$4,OR($L$78=$BK$3,$L$78=$BL$3,$L$78=$BM$3),$G$78=$CA$70),CD70,IF(AND($C$78=$AH$4,OR($L$78=$BK$3,$L$78=$BL$3,$L$78=$BM$3),$G$78=$CA$71),CD71,IF(AND($C$78=$AH$4,OR($L$78=$BK$3,$L$78=$BL$3,$L$78=$BM$3),$G$78=$CA$72),CD72,IF(AND($C$78=$AH$4,OR($L$78=$BK$3,$L$78=$BL$3,$L$78=$BM$3),$G$78=$CA$73),CD73,IF(AND($C$78=$AH$4,OR($L$78=$BK$3,$L$78=$BL$3,$L$78=$BM$3),$G$78=$CA$74),CD74,IF(AND($C$78=$AH$4,OR($L$78=$BK$3,$L$78=$BL$3,$L$78=$BM$3),$G$78=$CA$75),CD75,IF(AND($C$78=$AH$4,OR($L$78=$BK$3,$L$78=$BL$3,$L$78=$BM$3),$G$78=$CA$76),CD76,IF(AND($C$78=$AH$4,OR($L$78=$BK$3,$L$78=$BL$3,$L$78=$BM$3),$G$78=$CA$77),CD77,IF(AND($C$78=$AH$4,OR($L$78=$BK$3,$L$78=$BL$3,$L$78=$BM$3),$G$78=$CA$78),CD78,IF(AND($C$78=$AH$4,OR($L$78=$BK$3,$L$78=$BL$3,$L$78=$BM$3),$G$78=$CA$79),CD79,IF(AND($C$78=$AH$4,OR($L$78=$BK$3,$L$78=$BL$3,$L$78=$BM$3),$G$78=$CA$80),CD80,IF(AND($C$78=$AH$4,OR($L$78=$BK$3,$L$78=$BL$3,$L$78=$BM$3),$G$78=$CA$81),CD81,IF(AND($C$78=$AH$4,OR($L$78=$BK$3,$L$78=$BL$3,$L$78=$BM$3),$G$78=$CA$82),CD82,IF(AND($C$78=$AH$4,OR($L$78=$BK$3,$L$78=$BL$3,$L$78=$BM$3),$G$78=$CA$83),CD83,0)))))))))))))))))</f>
        <v>0</v>
      </c>
      <c r="BL40" s="407">
        <f>IF(AND($C$78=$AH$4,OR($L$78=$BL$3,$L$78=$BM$3),$G$78=$CA$67),CE67,IF(AND($C$78=$AH$4,OR($L$78=$BL$3,$L$78=$BM$3),$G$78=$CA$68),CE68,IF(AND($C$78=$AH$4,OR($L$78=$BL$3,$L$78=$BM$3),$G$78=$CA$69),CE69,IF(AND($C$78=$AH$4,OR($L$78=$BL$3,$L$78=$BM$3),$G$78=$CA$70),CE70,IF(AND($C$78=$AH$4,OR($L$78=$BL$3,$L$78=$BM$3),$G$78=$CA$71),CE71,IF(AND($C$78=$AH$4,OR($L$78=$BL$3,$L$78=$BM$3),$G$78=$CA$72),CE72,IF(AND($C$78=$AH$4,OR($L$78=$BL$3,$L$78=$BM$3),$G$78=$CA$73),CE73,IF(AND($C$78=$AH$4,OR($L$78=$BL$3,$L$78=$BM$3),$G$78=$CA$74),CE74,IF(AND($C$78=$AH$4,OR($L$78=$BL$3,$L$78=$BM$3),$G$78=$CA$75),CE75,IF(AND($C$78=$AH$4,OR($L$78=$BL$3,$L$78=$BM$3),$G$78=$CA$76),CE76,IF(AND($C$78=$AH$4,OR($L$78=$BL$3,$L$78=$BM$3),$G$78=$CA$77),CE77,IF(AND($C$78=$AH$4,OR($L$78=$BL$3,$L$78=$BM$3),$G$78=$CA$78),CE78,IF(AND($C$78=$AH$4,OR($L$78=$BL$3,$L$78=$BM$3),$G$78=$CA$79),CE79,IF(AND($C$78=$AH$4,OR($L$78=$BL$3,$L$78=$BM$3),$G$78=$CA$80),CE80,IF(AND($C$78=$AH$4,OR($L$78=$BL$3,$L$78=$BM$3),$G$78=$CA$81),CE81,IF(AND($C$78=$AH$4,OR($L$78=$BL$3,$L$78=$BM$3),$G$78=$CA$82),CE82,IF(AND($C$78=$AH$4,OR($L$78=$BL$3,$L$78=$BM$3),$G$78=$CA$83),CE83,0)))))))))))))))))</f>
        <v>0</v>
      </c>
      <c r="BM40" s="407">
        <f>IF(AND($C$78=$AH$4,OR($L$78=$BM$3),$G$78=$CA$67),CF67,IF(AND($C$78=$AH$4,OR($L$78=$BM$3),$G$78=$CA$68),CF68,IF(AND($C$78=$AH$4,OR($L$78=$BM$3),$G$78=$CA$69),CF69,IF(AND($C$78=$AH$4,OR($L$78=$BM$3),$G$78=$CA$70),CF70,IF(AND($C$78=$AH$4,OR($L$78=$BM$3),$G$78=$CA$71),CF71,IF(AND($C$78=$AH$4,OR($L$78=$BM$3),$G$78=$CA$72),CF72,IF(AND($C$78=$AH$4,OR($L$78=$BM$3),$G$78=$CA$73),CF73,IF(AND($C$78=$AH$4,OR($L$78=$BM$3),$G$78=$CA$74),CF74,IF(AND($C$78=$AH$4,OR($L$78=$BM$3),$G$78=$CA$75),CF75,IF(AND($C$78=$AH$4,OR($L$78=$BM$3),$G$78=$CA$76),CF76,IF(AND($C$78=$AH$4,OR($L$78=$BM$3),$G$78=$CA$77),CF77,IF(AND($C$78=$AH$4,OR($L$78=$BM$3),$G$78=$CA$78),CF78,IF(AND($C$78=$AH$4,OR($L$78=$BM$3),$G$78=$CA$79),CF79,IF(AND($C$78=$AH$4,OR($L$78=$BM$3),$G$78=$CA$80),CF80,IF(AND($C$78=$AH$4,OR($L$78=$BM$3),$G$78=$CA$81),CF81,IF(AND($C$78=$AH$4,OR($L$78=$BM$3),$G$78=$CA$82),CF82,IF(AND($C$78=$AH$4,OR($L$78=$BM$3),$G$78=$CA$83),CF83,0)))))))))))))))))</f>
        <v>0</v>
      </c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6"/>
      <c r="CA40" s="397" t="s">
        <v>882</v>
      </c>
      <c r="CB40" s="480" t="s">
        <v>880</v>
      </c>
      <c r="CC40" s="480"/>
      <c r="CD40" s="480"/>
      <c r="CE40" s="480"/>
      <c r="CF40" s="480"/>
      <c r="CG40" s="233"/>
      <c r="CH40" s="233"/>
      <c r="CI40" s="233"/>
      <c r="CJ40" s="233"/>
      <c r="CK40" s="233"/>
      <c r="CL40" s="233"/>
      <c r="CM40" s="233"/>
      <c r="CN40" s="361" t="str">
        <f t="shared" si="51"/>
        <v xml:space="preserve"> </v>
      </c>
      <c r="CO40" s="361" t="str">
        <f t="shared" si="52"/>
        <v xml:space="preserve"> </v>
      </c>
      <c r="CP40" s="361" t="str">
        <f t="shared" si="53"/>
        <v xml:space="preserve"> </v>
      </c>
      <c r="CQ40" s="361" t="str">
        <f t="shared" si="54"/>
        <v xml:space="preserve"> </v>
      </c>
      <c r="CR40" s="361" t="str">
        <f t="shared" si="55"/>
        <v xml:space="preserve"> </v>
      </c>
      <c r="CS40" s="233" t="s">
        <v>1510</v>
      </c>
      <c r="CT40" s="233"/>
      <c r="CU40" s="233"/>
      <c r="CV40" s="233" t="s">
        <v>1451</v>
      </c>
      <c r="CW40" s="233"/>
      <c r="CX40" s="233"/>
      <c r="CY40" s="339" t="s">
        <v>1449</v>
      </c>
      <c r="CZ40" s="233"/>
      <c r="DA40" s="233" t="s">
        <v>969</v>
      </c>
      <c r="DB40" s="233"/>
      <c r="DC40" s="339" t="s">
        <v>1450</v>
      </c>
      <c r="DD40" s="233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421" t="s">
        <v>1647</v>
      </c>
      <c r="DT40" s="422">
        <v>7570</v>
      </c>
      <c r="DU40" s="420">
        <v>3</v>
      </c>
      <c r="DV40" s="420">
        <v>40</v>
      </c>
      <c r="DW40" s="420">
        <v>3</v>
      </c>
      <c r="DX40" s="420"/>
      <c r="DY40" s="420">
        <v>51</v>
      </c>
      <c r="DZ40" s="420" t="s">
        <v>1174</v>
      </c>
      <c r="EA40" s="29">
        <v>30</v>
      </c>
      <c r="EB40" s="413" t="str">
        <f t="shared" si="61"/>
        <v>Phantom Medium</v>
      </c>
      <c r="EC40" s="432">
        <f t="shared" si="62"/>
        <v>3</v>
      </c>
      <c r="ED40" s="432">
        <f t="shared" si="63"/>
        <v>40</v>
      </c>
      <c r="EE40" s="432">
        <f t="shared" si="64"/>
        <v>3</v>
      </c>
      <c r="EF40" s="432" t="str">
        <f t="shared" si="65"/>
        <v>V; C; L</v>
      </c>
      <c r="EG40" s="432">
        <f t="shared" si="66"/>
        <v>52</v>
      </c>
      <c r="EH40" s="97">
        <f t="shared" si="56"/>
        <v>0</v>
      </c>
      <c r="EI40" s="97">
        <f t="shared" si="57"/>
        <v>0</v>
      </c>
      <c r="EJ40" s="97">
        <f t="shared" si="58"/>
        <v>0</v>
      </c>
      <c r="EK40" s="97">
        <f t="shared" si="59"/>
        <v>0</v>
      </c>
      <c r="EL40" s="97">
        <f t="shared" si="60"/>
        <v>0</v>
      </c>
      <c r="EM40" s="29"/>
      <c r="EN40" s="29"/>
      <c r="EO40" s="29"/>
      <c r="EP40" s="29"/>
      <c r="EQ40" s="29"/>
      <c r="ER40" s="29"/>
      <c r="ES40" s="29"/>
      <c r="ET40" s="29"/>
      <c r="EU40" s="29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</row>
    <row r="41" spans="1:168" ht="15.95" customHeight="1" x14ac:dyDescent="0.25">
      <c r="A41" s="609" t="s">
        <v>71</v>
      </c>
      <c r="B41" s="610"/>
      <c r="C41" s="610"/>
      <c r="D41" s="610"/>
      <c r="E41" s="610"/>
      <c r="F41" s="610"/>
      <c r="G41" s="610"/>
      <c r="H41" s="610"/>
      <c r="I41" s="610"/>
      <c r="J41" s="610"/>
      <c r="K41" s="610"/>
      <c r="L41" s="610"/>
      <c r="M41" s="610"/>
      <c r="N41" s="610"/>
      <c r="O41" s="610"/>
      <c r="P41" s="610"/>
      <c r="Q41" s="610"/>
      <c r="R41" s="610"/>
      <c r="S41" s="610"/>
      <c r="T41" s="610"/>
      <c r="U41" s="610"/>
      <c r="V41" s="610"/>
      <c r="W41" s="610"/>
      <c r="X41" s="610"/>
      <c r="Y41" s="610"/>
      <c r="Z41" s="610"/>
      <c r="AA41" s="610"/>
      <c r="AB41" s="610"/>
      <c r="AC41" s="610"/>
      <c r="AD41" s="610"/>
      <c r="AE41" s="610"/>
      <c r="AF41" s="611"/>
      <c r="AG41" s="29"/>
      <c r="AH41" s="29"/>
      <c r="AI41" s="29"/>
      <c r="AJ41" s="29"/>
      <c r="AK41" s="29"/>
      <c r="AL41" s="29">
        <v>10</v>
      </c>
      <c r="AM41" s="376" t="str">
        <f t="shared" si="67"/>
        <v xml:space="preserve"> </v>
      </c>
      <c r="AN41" s="29"/>
      <c r="AO41" s="29" t="s">
        <v>1571</v>
      </c>
      <c r="AP41" s="384">
        <f>IF(C54=$AH$1,AW27,IF(C54=$AH$2,AW61,IF(C54=$AH$3,AW92,IF(C54=$AH$4,AW123,IF(C54=$AH$5,AW154,IF(C54=$AH$6,AW185,0))))))-IF(BJ19="Threat range +1",1,0)-IF(BK19="Threat range +1",1,0)-IF(BL19="Threat range +1",1,0)-IF(BM19="Threat range +1",1,0)-IF(N54=CS11,1,0)-IF(S54=CS11,1,0)-IF(W54=CS11,1,0)-IF(N54=CS30,1,0)-IF(S54=CS30,1,0)-IF(W54=CS30,1,0)-IF(N54=CV11,1,0)-IF(S54=CV11,1,0)-IF(W54=CV11,1,0)-IF(N54=CY12,1,0)-IF(S54=CY12,1,0)-IF(W54=CY12,1,0)-IF(N54=CY17,1,0)-IF(S54=CY17,1,0)-IF(W54=CY17,1,0)-IF(N54=DA33,1,0)-IF(S54=DA33,1,0)-IF(W54=DA33,1,0)-IF(N54=DC7,1,0)-IF(S54=DC7,1,0)-IF(W54=DC7,1,0)-IF(AB27=DS30,1,0)-IF(AB27=DS59,2,0)-IF(Z34=DW149,1,0)-IF(Z35=DW165,1,0)-IF(AND(C54=AH1,Feats!E46=1),1,0)-IF(AND(C54=AH2,Feats!E47=1),1,0)-IF(AND(C54=AH3,Feats!E48=1),1,0)-IF(AND(C54=AH4,Feats!E49=1),1,0)-IF(AND(C54=AH5,Feats!E50=1),1,0)-IF(AND(C54=AH6,Feats!E51=1),1,0)</f>
        <v>0</v>
      </c>
      <c r="AQ41" s="384" t="str">
        <f>IF(AP41&gt;=20," ",AP41&amp;"-")</f>
        <v>0-</v>
      </c>
      <c r="AR41" s="29"/>
      <c r="AS41" s="29">
        <v>5</v>
      </c>
      <c r="AT41" s="375" t="s">
        <v>807</v>
      </c>
      <c r="AU41" s="375" t="s">
        <v>509</v>
      </c>
      <c r="AV41" s="375" t="s">
        <v>719</v>
      </c>
      <c r="AW41" s="375">
        <v>20</v>
      </c>
      <c r="AX41" s="375">
        <v>2</v>
      </c>
      <c r="AY41" s="375">
        <v>13</v>
      </c>
      <c r="AZ41" s="375" t="s">
        <v>909</v>
      </c>
      <c r="BA41" s="375">
        <v>10</v>
      </c>
      <c r="BB41" s="375">
        <v>-5</v>
      </c>
      <c r="BC41" s="375">
        <v>40</v>
      </c>
      <c r="BD41" s="375">
        <v>50</v>
      </c>
      <c r="BE41" s="375">
        <f>IF(BF41&lt;=4,BF41-1,IF(OR(BF41=5,BF41=6,BF41=6.5),BF41-1.5,IF(OR(BF41=7,BF41=8),BF41-2,IF(OR(BF41=9,BF41=10),BF41-2.5,IF(OR(BF41=11,BF41=12,BF41=13),BF41-3,IF(OR(BF41=14,BF41=15,BF41=16),BF41-4,IF(OR(BF41=17,BF41=18),BF41-5,IF(BF41&gt;=19,BF41-6,0))))))))</f>
        <v>4.5</v>
      </c>
      <c r="BF41" s="375">
        <v>6</v>
      </c>
      <c r="BG41" s="29"/>
      <c r="BH41" s="29"/>
      <c r="BI41" s="409" t="s">
        <v>1536</v>
      </c>
      <c r="BJ41" s="407">
        <f>IF(AND($C$78=$AH$5,OR($L$78=$BJ$3,$L$78=$BK$3,$L$78=$BL$3,$L$78=$BM$3),$G$78=$CA$88),CC88,IF(AND($C$78=$AH$5,OR($L$78=$BJ$3,$L$78=$BK$3,$L$78=$BL$3,$L$78=$BM$3),$G$78=$CA$89),CC89,IF(AND($C$78=$AH$5,OR($L$78=$BJ$3,$L$78=$BK$3,$L$78=$BL$3,$L$78=$BM$3),$G$78=$CA$90),CC90,IF(AND($C$78=$AH$5,OR($L$78=$BJ$3,$L$78=$BK$3,$L$78=$BL$3,$L$78=$BM$3),$G$78=$CA$91),CC91,IF(AND($C$78=$AH$5,OR($L$78=$BJ$3,$L$78=$BK$3,$L$78=$BL$3,$L$78=$BM$3),$G$78=$CA$92),CC92,IF(AND($C$78=$AH$5,OR($L$78=$BJ$3,$L$78=$BK$3,$L$78=$BL$3,$L$78=$BM$3),$G$78=$CA$93),CC93,IF(AND($C$78=$AH$5,OR($L$78=$BJ$3,$L$78=$BK$3,$L$78=$BL$3,$L$78=$BM$3),$G$78=$CA$94),CC94,IF(AND($C$78=$AH$5,OR($L$78=$BJ$3,$L$78=$BK$3,$L$78=$BL$3,$L$78=$BM$3),$G$78=$CA$95),CC95,IF(AND($C$78=$AH$5,OR($L$78=$BJ$3,$L$78=$BK$3,$L$78=$BL$3,$L$78=$BM$3),$G$78=$CA$96),CC96,IF(AND($C$78=$AH$5,OR($L$78=$BJ$3,$L$78=$BK$3,$L$78=$BL$3,$L$78=$BM$3),$G$78=$CA$97),CC97,IF(AND($C$78=$AH$5,OR($L$78=$BJ$3,$L$78=$BK$3,$L$78=$BL$3,$L$78=$BM$3),$G$78=$CA$98),CC98,IF(AND($C$78=$AH$5,OR($L$78=$BJ$3,$L$78=$BK$3,$L$78=$BL$3,$L$78=$BM$3),$G$78=$CA$99),CC99,IF(AND($C$78=$AH$5,OR($L$78=$BJ$3,$L$78=$BK$3,$L$78=$BL$3,$L$78=$BM$3),$G$78=$CA$100),CC100,IF(AND($C$78=$AH$5,OR($L$78=$BJ$3,$L$78=$BK$3,$L$78=$BL$3,$L$78=$BM$3),$G$78=$CA$101),CC101,IF(AND($C$78=$AH$5,OR($L$78=$BJ$3,$L$78=$BK$3,$L$78=$BL$3,$L$78=$BM$3),$G$78=$CA$102),CC102,IF(AND($C$78=$AH$5,OR($L$78=$BJ$3,$L$78=$BK$3,$L$78=$BL$3,$L$78=$BM$3),$G$78=$CA$103),CC103,IF(AND($C$78=$AH$5,OR($L$78=$BJ$3,$L$78=$BK$3,$L$78=$BL$3,$L$78=$BM$3),$G$78=$CA$104),CC104,IF(AND($C$78=$AH$5,OR($L$78=$BJ$3,$L$78=$BK$3,$L$78=$BL$3,$L$78=$BM$3),$G$78=$CA$105),CC105,0))))))))))))))))))</f>
        <v>0</v>
      </c>
      <c r="BK41" s="407">
        <f>IF(AND($C$78=$AH$5,OR($L$78=$BK$3,$L$78=$BL$3,$L$78=$BM$3),$G$78=$CA$88),CD88,IF(AND($C$78=$AH$5,OR($L$78=$BK$3,$L$78=$BL$3,$L$78=$BM$3),$G$78=$CA$89),CD89,IF(AND($C$78=$AH$5,OR($L$78=$BK$3,$L$78=$BL$3,$L$78=$BM$3),$G$78=$CA$90),CD90,IF(AND($C$78=$AH$5,OR($L$78=$BK$3,$L$78=$BL$3,$L$78=$BM$3),$G$78=$CA$91),CD91,IF(AND($C$78=$AH$5,OR($L$78=$BK$3,$L$78=$BL$3,$L$78=$BM$3),$G$78=$CA$92),CD92,IF(AND($C$78=$AH$5,OR($L$78=$BK$3,$L$78=$BL$3,$L$78=$BM$3),$G$78=$CA$93),CD93,IF(AND($C$78=$AH$5,OR($L$78=$BK$3,$L$78=$BL$3,$L$78=$BM$3),$G$78=$CA$94),CD94,IF(AND($C$78=$AH$5,OR($L$78=$BK$3,$L$78=$BL$3,$L$78=$BM$3),$G$78=$CA$95),CD95,IF(AND($C$78=$AH$5,OR($L$78=$BK$3,$L$78=$BL$3,$L$78=$BM$3),$G$78=$CA$96),CD96,IF(AND($C$78=$AH$5,OR($L$78=$BK$3,$L$78=$BL$3,$L$78=$BM$3),$G$78=$CA$97),CD97,IF(AND($C$78=$AH$5,OR($L$78=$BK$3,$L$78=$BL$3,$L$78=$BM$3),$G$78=$CA$98),CD98,IF(AND($C$78=$AH$5,OR($L$78=$BK$3,$L$78=$BL$3,$L$78=$BM$3),$G$78=$CA$99),CD99,IF(AND($C$78=$AH$5,OR($L$78=$BK$3,$L$78=$BL$3,$L$78=$BM$3),$G$78=$CA$100),CD100,IF(AND($C$78=$AH$5,OR($L$78=$BK$3,$L$78=$BL$3,$L$78=$BM$3),$G$78=$CA$101),CD101,IF(AND($C$78=$AH$5,OR($L$78=$BK$3,$L$78=$BL$3,$L$78=$BM$3),$G$78=$CA$102),CD102,IF(AND($C$78=$AH$5,OR($L$78=$BK$3,$L$78=$BL$3,$L$78=$BM$3),$G$78=$CA$103),CD103,IF(AND($C$78=$AH$5,OR($L$78=$BK$3,$L$78=$BL$3,$L$78=$BM$3),$G$78=$CA$104),CD104,IF(AND($C$78=$AH$5,OR($L$78=$BK$3,$L$78=$BL$3,$L$78=$BM$3),$G$78=$CA$105),CD105,0))))))))))))))))))</f>
        <v>0</v>
      </c>
      <c r="BL41" s="407">
        <f>IF(AND($C$78=$AH$5,OR($L$78=$BL$3,$L$78=$BM$3),$G$78=$CA$88),CE88,IF(AND($C$78=$AH$5,OR($L$78=$BL$3,$L$78=$BM$3),$G$78=$CA$89),CE89,IF(AND($C$78=$AH$5,OR($L$78=$BL$3,$L$78=$BM$3),$G$78=$CA$90),CE90,IF(AND($C$78=$AH$5,OR($L$78=$BL$3,$L$78=$BM$3),$G$78=$CA$91),CE91,IF(AND($C$78=$AH$5,OR($L$78=$BL$3,$L$78=$BM$3),$G$78=$CA$92),CE92,IF(AND($C$78=$AH$5,OR($L$78=$BL$3,$L$78=$BM$3),$G$78=$CA$93),CE93,IF(AND($C$78=$AH$5,OR($L$78=$BL$3,$L$78=$BM$3),$G$78=$CA$94),CE94,IF(AND($C$78=$AH$5,OR($L$78=$BL$3,$L$78=$BM$3),$G$78=$CA$95),CE95,IF(AND($C$78=$AH$5,OR($L$78=$BL$3,$L$78=$BM$3),$G$78=$CA$96),CE96,IF(AND($C$78=$AH$5,OR($L$78=$BL$3,$L$78=$BM$3),$G$78=$CA$97),CE97,IF(AND($C$78=$AH$5,OR($L$78=$BL$3,$L$78=$BM$3),$G$78=$CA$98),CE98,IF(AND($C$78=$AH$5,OR($L$78=$BL$3,$L$78=$BM$3),$G$78=$CA$99),CE99,IF(AND($C$78=$AH$5,OR($L$78=$BL$3,$L$78=$BM$3),$G$78=$CA$100),CE100,IF(AND($C$78=$AH$5,OR($L$78=$BL$3,$L$78=$BM$3),$G$78=$CA$101),CE101,IF(AND($C$78=$AH$5,OR($L$78=$BL$3,$L$78=$BM$3),$G$78=$CA$102),CE102,IF(AND($C$78=$AH$5,OR($L$78=$BL$3,$L$78=$BM$3),$G$78=$CA$103),CE103,IF(AND($C$78=$AH$5,OR($L$78=$BL$3,$L$78=$BM$3),$G$78=$CA$104),CE104,IF(AND($C$78=$AH$5,OR($L$78=$BL$3,$L$78=$BM$3),$G$78=$CA$105),CE105,0))))))))))))))))))</f>
        <v>0</v>
      </c>
      <c r="BM41" s="407">
        <f>IF(AND($C$78=$AH$5,OR($L$78=$BM$3),$G$78=$CA$88),CF88,IF(AND($C$78=$AH$5,OR($L$78=$BM$3),$G$78=$CA$89),CF89,IF(AND($C$78=$AH$5,OR($L$78=$BM$3),$G$78=$CA$90),CF90,IF(AND($C$78=$AH$5,OR($L$78=$BM$3),$G$78=$CA$91),CF91,IF(AND($C$78=$AH$5,OR($L$78=$BM$3),$G$78=$CA$92),CF92,IF(AND($C$78=$AH$5,OR($L$78=$BM$3),$G$78=$CA$93),CF93,IF(AND($C$78=$AH$5,OR($L$78=$BM$3),$G$78=$CA$94),CF94,IF(AND($C$78=$AH$5,OR($L$78=$BM$3),$G$78=$CA$95),CF95,IF(AND($C$78=$AH$5,OR($L$78=$BM$3),$G$78=$CA$96),CF96,IF(AND($C$78=$AH$5,OR($L$78=$BM$3),$G$78=$CA$97),CF97,IF(AND($C$78=$AH$5,OR($L$78=$BM$3),$G$78=$CA$98),CF98,IF(AND($C$78=$AH$5,OR($L$78=$BM$3),$G$78=$CA$99),CF99,IF(AND($C$78=$AH$5,OR($L$78=$BM$3),$G$78=$CA$100),CF100,IF(AND($C$78=$AH$5,OR($L$78=$BM$3),$G$78=$CA$101),CF101,IF(AND($C$78=$AH$5,OR($L$78=$BM$3),$G$78=$CA$102),CF102,IF(AND($C$78=$AH$5,OR($L$78=$BM$3),$G$78=$CA$103),CF103,IF(AND($C$78=$AH$5,OR($L$78=$BM$3),$G$78=$CA$104),CF104,IF(AND($C$78=$AH$5,OR($L$78=$BM$3),$G$78=$CA$105),CF105,0))))))))))))))))))</f>
        <v>0</v>
      </c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6"/>
      <c r="CA41" s="394" t="s">
        <v>1020</v>
      </c>
      <c r="CB41" s="394" t="s">
        <v>847</v>
      </c>
      <c r="CC41" s="395" t="s">
        <v>1573</v>
      </c>
      <c r="CD41" s="394" t="s">
        <v>1574</v>
      </c>
      <c r="CE41" s="395" t="s">
        <v>1573</v>
      </c>
      <c r="CF41" s="394" t="s">
        <v>1575</v>
      </c>
      <c r="CG41" s="233"/>
      <c r="CH41" s="233"/>
      <c r="CI41" s="233"/>
      <c r="CJ41" s="233"/>
      <c r="CK41" s="233"/>
      <c r="CL41" s="233"/>
      <c r="CM41" s="233"/>
      <c r="CN41" s="361" t="str">
        <f t="shared" si="51"/>
        <v xml:space="preserve"> </v>
      </c>
      <c r="CO41" s="361" t="str">
        <f t="shared" si="52"/>
        <v xml:space="preserve"> </v>
      </c>
      <c r="CP41" s="361" t="str">
        <f t="shared" si="53"/>
        <v xml:space="preserve"> </v>
      </c>
      <c r="CQ41" s="361" t="str">
        <f t="shared" si="54"/>
        <v xml:space="preserve"> </v>
      </c>
      <c r="CR41" s="361" t="str">
        <f t="shared" si="55"/>
        <v xml:space="preserve"> </v>
      </c>
      <c r="CS41" s="233" t="s">
        <v>1448</v>
      </c>
      <c r="CT41" s="233"/>
      <c r="CU41" s="233"/>
      <c r="CV41" s="233" t="s">
        <v>1452</v>
      </c>
      <c r="CW41" s="233"/>
      <c r="CX41" s="233"/>
      <c r="CY41" s="339" t="s">
        <v>1450</v>
      </c>
      <c r="CZ41" s="233"/>
      <c r="DA41" s="233" t="s">
        <v>970</v>
      </c>
      <c r="DB41" s="233"/>
      <c r="DC41" s="339" t="s">
        <v>1451</v>
      </c>
      <c r="DD41" s="233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421" t="s">
        <v>1648</v>
      </c>
      <c r="DT41" s="422">
        <v>8155</v>
      </c>
      <c r="DU41" s="420">
        <v>2</v>
      </c>
      <c r="DV41" s="420">
        <v>50</v>
      </c>
      <c r="DW41" s="420">
        <v>2</v>
      </c>
      <c r="DX41" s="420"/>
      <c r="DY41" s="420">
        <v>50</v>
      </c>
      <c r="DZ41" s="420" t="s">
        <v>1165</v>
      </c>
      <c r="EA41" s="29"/>
      <c r="EB41" s="413" t="str">
        <f t="shared" si="61"/>
        <v>Project Phoenix Medium</v>
      </c>
      <c r="EC41" s="432">
        <f t="shared" si="62"/>
        <v>2</v>
      </c>
      <c r="ED41" s="432">
        <f t="shared" si="63"/>
        <v>55</v>
      </c>
      <c r="EE41" s="432">
        <f t="shared" si="64"/>
        <v>3</v>
      </c>
      <c r="EF41" s="432" t="str">
        <f t="shared" si="65"/>
        <v>V; A; L</v>
      </c>
      <c r="EG41" s="432">
        <f t="shared" si="66"/>
        <v>35</v>
      </c>
      <c r="EH41" s="97">
        <f t="shared" si="56"/>
        <v>0</v>
      </c>
      <c r="EI41" s="97">
        <f t="shared" si="57"/>
        <v>0</v>
      </c>
      <c r="EJ41" s="97">
        <f t="shared" si="58"/>
        <v>0</v>
      </c>
      <c r="EK41" s="97">
        <f t="shared" si="59"/>
        <v>0</v>
      </c>
      <c r="EL41" s="97">
        <f t="shared" si="60"/>
        <v>0</v>
      </c>
      <c r="EM41" s="29"/>
      <c r="EN41" s="29"/>
      <c r="EO41" s="29"/>
      <c r="EP41" s="29"/>
      <c r="EQ41" s="29"/>
      <c r="ER41" s="29"/>
      <c r="ES41" s="29"/>
      <c r="ET41" s="29"/>
      <c r="EU41" s="29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</row>
    <row r="42" spans="1:168" ht="15.95" customHeight="1" x14ac:dyDescent="0.25">
      <c r="A42" s="539" t="s">
        <v>203</v>
      </c>
      <c r="B42" s="539"/>
      <c r="C42" s="530"/>
      <c r="D42" s="530"/>
      <c r="E42" s="530"/>
      <c r="F42" s="530"/>
      <c r="G42" s="530"/>
      <c r="H42" s="530"/>
      <c r="I42" s="530"/>
      <c r="J42" s="530"/>
      <c r="K42" s="530"/>
      <c r="L42" s="531"/>
      <c r="M42" s="531"/>
      <c r="N42" s="531"/>
      <c r="O42" s="531"/>
      <c r="P42" s="531"/>
      <c r="Q42" s="531"/>
      <c r="R42" s="531"/>
      <c r="S42" s="604"/>
      <c r="T42" s="605"/>
      <c r="U42" s="605"/>
      <c r="V42" s="606"/>
      <c r="W42" s="472"/>
      <c r="X42" s="472"/>
      <c r="Y42" s="472"/>
      <c r="Z42" s="472"/>
      <c r="AA42" s="30"/>
      <c r="AB42" s="518" t="s">
        <v>74</v>
      </c>
      <c r="AC42" s="519"/>
      <c r="AD42" s="519"/>
      <c r="AE42" s="519"/>
      <c r="AF42" s="520"/>
      <c r="AG42" s="52"/>
      <c r="AH42" s="52"/>
      <c r="AI42" s="52" t="s">
        <v>1453</v>
      </c>
      <c r="AJ42" s="52"/>
      <c r="AK42" s="52"/>
      <c r="AL42" s="29">
        <v>11</v>
      </c>
      <c r="AM42" s="376" t="str">
        <f t="shared" si="67"/>
        <v xml:space="preserve"> </v>
      </c>
      <c r="AN42" s="52"/>
      <c r="AO42" s="29" t="s">
        <v>1572</v>
      </c>
      <c r="AP42" s="384">
        <f>IF(C54=$AH$1,AX27,IF(C54=$AH$2,AX61,IF(C54=$AH$3,AX92,IF(C54=$AH$4,AX123,IF(C54=$AH$5,AX154,IF(C54=$AH$6,AX185,0))))))+IF(BJ19="Multiplier +1",1,0)+IF(BK19="Multiplier +1",1,0)+IF(BL19="Multiplier +1",1,0)+IF(BM19="Multiplier +1",1,0)+IF(N54=CS22,1,0)+IF(S54=CS22,1,0)+IF(W54=CS22,1,0)+IF(AB27=DS50,1,0)+IF(AND(C54="Melee",AB27=DS69),1,0)</f>
        <v>0</v>
      </c>
      <c r="AQ42" s="36"/>
      <c r="AR42" s="52"/>
      <c r="AS42" s="29">
        <v>6</v>
      </c>
      <c r="AT42" s="234" t="s">
        <v>1434</v>
      </c>
      <c r="AU42" s="234"/>
      <c r="AV42" s="234"/>
      <c r="AW42" s="234"/>
      <c r="AX42" s="234"/>
      <c r="AY42" s="234"/>
      <c r="AZ42" s="234"/>
      <c r="BA42" s="375"/>
      <c r="BB42" s="375"/>
      <c r="BC42" s="375"/>
      <c r="BD42" s="375"/>
      <c r="BE42" s="375"/>
      <c r="BF42" s="375"/>
      <c r="BG42" s="29"/>
      <c r="BH42" s="29"/>
      <c r="BI42" s="409" t="s">
        <v>1581</v>
      </c>
      <c r="BJ42" s="383">
        <f>IF(BJ34&gt;0,BJ34,IF(BJ35&gt;0,BJ35,IF(BJ36&gt;0,BJ36,IF(BJ40&gt;0,BJ40,IF(BJ41&gt;0,BJ41,0)))))</f>
        <v>0</v>
      </c>
      <c r="BK42" s="383">
        <f>IF(BK34&gt;0,BK34,IF(BK35&gt;0,BK35,IF(BK36&gt;0,BK36,IF(BK40&gt;0,BK40,IF(BK41&gt;0,BK41,0)))))</f>
        <v>0</v>
      </c>
      <c r="BL42" s="383">
        <f>IF(BL34&gt;0,BL34,IF(BL35&gt;0,BL35,IF(BL36&gt;0,BL36,IF(BL40&gt;0,BL40,IF(BL41&gt;0,BL41,0)))))</f>
        <v>0</v>
      </c>
      <c r="BM42" s="383">
        <f>IF(BM34&gt;0,BM34,IF(BM35&gt;0,BM35,IF(BM36&gt;0,BM36,IF(BM40&gt;0,BM40,IF(BM41&gt;0,BM41,0)))))</f>
        <v>0</v>
      </c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6"/>
      <c r="CA42" s="394" t="s">
        <v>859</v>
      </c>
      <c r="CB42" s="394" t="s">
        <v>847</v>
      </c>
      <c r="CC42" s="395" t="s">
        <v>1573</v>
      </c>
      <c r="CD42" s="394"/>
      <c r="CE42" s="394" t="s">
        <v>1575</v>
      </c>
      <c r="CF42" s="394"/>
      <c r="CG42" s="233"/>
      <c r="CH42" s="233"/>
      <c r="CI42" s="233"/>
      <c r="CJ42" s="233"/>
      <c r="CK42" s="233"/>
      <c r="CL42" s="233"/>
      <c r="CM42" s="233"/>
      <c r="CN42" s="361" t="str">
        <f t="shared" si="51"/>
        <v xml:space="preserve"> </v>
      </c>
      <c r="CO42" s="361" t="str">
        <f t="shared" si="52"/>
        <v xml:space="preserve"> </v>
      </c>
      <c r="CP42" s="361" t="str">
        <f t="shared" si="53"/>
        <v xml:space="preserve"> </v>
      </c>
      <c r="CQ42" s="361" t="str">
        <f t="shared" si="54"/>
        <v xml:space="preserve"> </v>
      </c>
      <c r="CR42" s="361" t="str">
        <f t="shared" si="55"/>
        <v xml:space="preserve"> </v>
      </c>
      <c r="CS42" s="233" t="s">
        <v>1449</v>
      </c>
      <c r="CT42" s="233"/>
      <c r="CU42" s="233"/>
      <c r="CV42" s="233" t="s">
        <v>1510</v>
      </c>
      <c r="CW42" s="233"/>
      <c r="CX42" s="233"/>
      <c r="CY42" s="339" t="s">
        <v>1451</v>
      </c>
      <c r="CZ42" s="233"/>
      <c r="DA42" s="233" t="s">
        <v>971</v>
      </c>
      <c r="DB42" s="233"/>
      <c r="DC42" s="339" t="s">
        <v>1452</v>
      </c>
      <c r="DD42" s="233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419" t="s">
        <v>1649</v>
      </c>
      <c r="DT42" s="422">
        <v>8390</v>
      </c>
      <c r="DU42" s="420">
        <v>3</v>
      </c>
      <c r="DV42" s="420">
        <v>40</v>
      </c>
      <c r="DW42" s="420">
        <v>3</v>
      </c>
      <c r="DX42" s="420" t="s">
        <v>1160</v>
      </c>
      <c r="DY42" s="420">
        <v>52</v>
      </c>
      <c r="DZ42" s="420" t="s">
        <v>1603</v>
      </c>
      <c r="EA42" s="29">
        <v>31</v>
      </c>
      <c r="EB42" s="413" t="str">
        <f t="shared" si="61"/>
        <v>Remnant Medium</v>
      </c>
      <c r="EC42" s="432">
        <f t="shared" si="62"/>
        <v>2</v>
      </c>
      <c r="ED42" s="432">
        <f t="shared" si="63"/>
        <v>60</v>
      </c>
      <c r="EE42" s="432">
        <f t="shared" si="64"/>
        <v>3</v>
      </c>
      <c r="EF42" s="432">
        <f t="shared" si="65"/>
        <v>0</v>
      </c>
      <c r="EG42" s="432">
        <f t="shared" si="66"/>
        <v>55</v>
      </c>
      <c r="EH42" s="97">
        <f t="shared" si="56"/>
        <v>0</v>
      </c>
      <c r="EI42" s="97">
        <f t="shared" si="57"/>
        <v>0</v>
      </c>
      <c r="EJ42" s="97">
        <f t="shared" si="58"/>
        <v>0</v>
      </c>
      <c r="EK42" s="97">
        <f t="shared" si="59"/>
        <v>0</v>
      </c>
      <c r="EL42" s="97">
        <f t="shared" si="60"/>
        <v>0</v>
      </c>
      <c r="EM42" s="29"/>
      <c r="EN42" s="29"/>
      <c r="EO42" s="29"/>
      <c r="EP42" s="29"/>
      <c r="EQ42" s="29"/>
      <c r="ER42" s="29"/>
      <c r="ES42" s="29"/>
      <c r="ET42" s="29"/>
      <c r="EU42" s="29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</row>
    <row r="43" spans="1:168" ht="15.95" customHeight="1" x14ac:dyDescent="0.25">
      <c r="A43" s="226"/>
      <c r="B43" s="226"/>
      <c r="C43" s="602" t="s">
        <v>1262</v>
      </c>
      <c r="D43" s="602"/>
      <c r="E43" s="602"/>
      <c r="F43" s="602"/>
      <c r="G43" s="473" t="s">
        <v>1540</v>
      </c>
      <c r="H43" s="473"/>
      <c r="I43" s="473"/>
      <c r="J43" s="473"/>
      <c r="K43" s="473"/>
      <c r="L43" s="473" t="s">
        <v>1423</v>
      </c>
      <c r="M43" s="473"/>
      <c r="N43" s="473" t="s">
        <v>793</v>
      </c>
      <c r="O43" s="473"/>
      <c r="P43" s="473"/>
      <c r="Q43" s="473"/>
      <c r="R43" s="473"/>
      <c r="S43" s="473" t="s">
        <v>792</v>
      </c>
      <c r="T43" s="473"/>
      <c r="U43" s="473"/>
      <c r="V43" s="473"/>
      <c r="W43" s="473" t="s">
        <v>792</v>
      </c>
      <c r="X43" s="473"/>
      <c r="Y43" s="473"/>
      <c r="Z43" s="473"/>
      <c r="AA43" s="30"/>
      <c r="AB43" s="521"/>
      <c r="AC43" s="522"/>
      <c r="AD43" s="522"/>
      <c r="AE43" s="522"/>
      <c r="AF43" s="523"/>
      <c r="AG43" s="52"/>
      <c r="AH43" s="52"/>
      <c r="AI43" s="52" t="s">
        <v>1457</v>
      </c>
      <c r="AJ43" s="52"/>
      <c r="AK43" s="52"/>
      <c r="AL43" s="29">
        <v>12</v>
      </c>
      <c r="AM43" s="376" t="str">
        <f t="shared" si="67"/>
        <v xml:space="preserve"> </v>
      </c>
      <c r="AN43" s="52"/>
      <c r="AO43" s="29"/>
      <c r="AP43" s="36"/>
      <c r="AQ43" s="36"/>
      <c r="AR43" s="52"/>
      <c r="AS43" s="29">
        <v>7</v>
      </c>
      <c r="AT43" s="375" t="s">
        <v>1527</v>
      </c>
      <c r="AU43" s="234" t="s">
        <v>799</v>
      </c>
      <c r="AV43" s="234" t="s">
        <v>509</v>
      </c>
      <c r="AW43" s="234">
        <v>20</v>
      </c>
      <c r="AX43" s="234">
        <v>2</v>
      </c>
      <c r="AY43" s="234">
        <v>10</v>
      </c>
      <c r="AZ43" s="375" t="s">
        <v>909</v>
      </c>
      <c r="BA43" s="234">
        <v>5</v>
      </c>
      <c r="BB43" s="234">
        <v>-2</v>
      </c>
      <c r="BC43" s="234">
        <v>42</v>
      </c>
      <c r="BD43" s="234">
        <v>40</v>
      </c>
      <c r="BE43" s="375">
        <f>IF(BF43&lt;=4,BF43-1,IF(OR(BF43=5,BF43=6,BF43=6.5),BF43-1.5,IF(OR(BF43=7,BF43=8),BF43-2,IF(OR(BF43=9,BF43=10),BF43-2.5,IF(OR(BF43=11,BF43=12,BF43=13),BF43-3,IF(OR(BF43=14,BF43=15,BF43=16),BF43-4,IF(OR(BF43=17,BF43=18),BF43-5,IF(BF43&gt;=19,BF43-6,0))))))))</f>
        <v>6</v>
      </c>
      <c r="BF43" s="234">
        <v>8</v>
      </c>
      <c r="BG43" s="29"/>
      <c r="BH43" s="29"/>
      <c r="BI43" s="409"/>
      <c r="BJ43" s="409"/>
      <c r="BK43" s="409"/>
      <c r="BL43" s="409"/>
      <c r="BM43" s="409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6"/>
      <c r="CA43" s="394" t="s">
        <v>860</v>
      </c>
      <c r="CB43" s="394" t="s">
        <v>847</v>
      </c>
      <c r="CC43" s="395" t="s">
        <v>1573</v>
      </c>
      <c r="CD43" s="394" t="s">
        <v>1574</v>
      </c>
      <c r="CE43" s="395" t="s">
        <v>1573</v>
      </c>
      <c r="CF43" s="394" t="s">
        <v>1575</v>
      </c>
      <c r="CG43" s="233"/>
      <c r="CH43" s="233"/>
      <c r="CI43" s="233"/>
      <c r="CJ43" s="233"/>
      <c r="CK43" s="233"/>
      <c r="CL43" s="233"/>
      <c r="CM43" s="233"/>
      <c r="CN43" s="361" t="str">
        <f t="shared" si="51"/>
        <v xml:space="preserve"> </v>
      </c>
      <c r="CO43" s="361" t="str">
        <f t="shared" si="52"/>
        <v xml:space="preserve"> </v>
      </c>
      <c r="CP43" s="361" t="str">
        <f t="shared" si="53"/>
        <v xml:space="preserve"> </v>
      </c>
      <c r="CQ43" s="361" t="str">
        <f t="shared" si="54"/>
        <v xml:space="preserve"> </v>
      </c>
      <c r="CR43" s="361" t="str">
        <f t="shared" si="55"/>
        <v xml:space="preserve"> </v>
      </c>
      <c r="CS43" s="233" t="s">
        <v>1450</v>
      </c>
      <c r="CT43" s="233"/>
      <c r="CU43" s="233"/>
      <c r="CV43" s="233" t="s">
        <v>1434</v>
      </c>
      <c r="CW43" s="233"/>
      <c r="CX43" s="233"/>
      <c r="CY43" s="339" t="s">
        <v>1452</v>
      </c>
      <c r="CZ43" s="233"/>
      <c r="DA43" s="233" t="s">
        <v>972</v>
      </c>
      <c r="DB43" s="233"/>
      <c r="DC43" s="233" t="s">
        <v>1510</v>
      </c>
      <c r="DD43" s="233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419" t="s">
        <v>1650</v>
      </c>
      <c r="DT43" s="422">
        <v>8700</v>
      </c>
      <c r="DU43" s="420">
        <v>2</v>
      </c>
      <c r="DV43" s="420">
        <v>55</v>
      </c>
      <c r="DW43" s="420">
        <v>3</v>
      </c>
      <c r="DX43" s="420" t="s">
        <v>1163</v>
      </c>
      <c r="DY43" s="420">
        <v>35</v>
      </c>
      <c r="DZ43" s="420" t="s">
        <v>1595</v>
      </c>
      <c r="EA43" s="29">
        <v>32</v>
      </c>
      <c r="EB43" s="413" t="str">
        <f t="shared" si="61"/>
        <v>HyperGuardian Medium</v>
      </c>
      <c r="EC43" s="432">
        <f t="shared" si="62"/>
        <v>3</v>
      </c>
      <c r="ED43" s="432">
        <f t="shared" si="63"/>
        <v>45</v>
      </c>
      <c r="EE43" s="432">
        <f t="shared" si="64"/>
        <v>2</v>
      </c>
      <c r="EF43" s="432">
        <f t="shared" si="65"/>
        <v>0</v>
      </c>
      <c r="EG43" s="432">
        <f t="shared" si="66"/>
        <v>50</v>
      </c>
      <c r="EH43" s="97">
        <f t="shared" si="56"/>
        <v>0</v>
      </c>
      <c r="EI43" s="97">
        <f t="shared" si="57"/>
        <v>0</v>
      </c>
      <c r="EJ43" s="97">
        <f t="shared" si="58"/>
        <v>0</v>
      </c>
      <c r="EK43" s="97">
        <f t="shared" si="59"/>
        <v>0</v>
      </c>
      <c r="EL43" s="97">
        <f t="shared" si="60"/>
        <v>0</v>
      </c>
      <c r="EM43" s="29"/>
      <c r="EN43" s="29"/>
      <c r="EO43" s="29"/>
      <c r="EP43" s="29"/>
      <c r="EQ43" s="29"/>
      <c r="ER43" s="29"/>
      <c r="ES43" s="29"/>
      <c r="ET43" s="29"/>
      <c r="EU43" s="29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</row>
    <row r="44" spans="1:168" ht="15.95" customHeight="1" thickBot="1" x14ac:dyDescent="0.3">
      <c r="A44" s="532" t="s">
        <v>423</v>
      </c>
      <c r="B44" s="532"/>
      <c r="C44" s="533"/>
      <c r="D44" s="198">
        <f>IF(OR($Y$7=$AH$9,$Y$7=$AH$10,$Y$7=$AH$12,$Y$7=$AH$16,$Y$7=$AH$20,$Y$7=$AH$21,$Y$7=$AH$22),ROUNDDOWN($AF$7/2,0),IF(OR($Y$7=$AH$23,$Y$7=$AH$15,$Y$7=$AH$29),$AF$7,IF(OR($Y$7=$AH$11,$Y$7=$AH$18,$Y$7=$AH$19,$Y$7=$AH$24,$Y$7=$AH$25,$Y$7=$AH$28,$Y$7=$AH$13,$Y$7=$AH$14,$Y$7=$AH$17,$Y$7=$AH$26,$Y$7=$AH$27),ROUNDDOWN(3/4*$AF$7,0),0)))</f>
        <v>0</v>
      </c>
      <c r="E44" s="17"/>
      <c r="F44" s="198">
        <f>IF(Y44&gt;$B$6,(Y44-$B$6)*-1,0)</f>
        <v>0</v>
      </c>
      <c r="G44" s="17"/>
      <c r="H44" s="60"/>
      <c r="I44" s="17"/>
      <c r="J44" s="232">
        <f>IF(C42=$AH$6,$N$6,IF($B$1="Elcor",$N$12,$N$8))</f>
        <v>-5</v>
      </c>
      <c r="K44" s="17"/>
      <c r="L44" s="230">
        <f>IF(AND(C42=AH1,Feats!Q35=1),1,0)+IF(AND(C42=AH2,Feats!Q36=1),1,0)+IF(AND(C42=AH3,Feats!Q37=1),1,0)+IF(AND(C42=AH4,Feats!Q38=1),1,0)+IF(AND(C42=AH5,Feats!Q39=1),1,0)+IF(AND(C42=AH6,Feats!Q40=1),1,0)+IF(AND(C42=AH1,Feats!Q42=1),1,0)+IF(AND(C42=AH2,Feats!Q43=1),1,0)+IF(AND(C42=AH3,Feats!Q44=1),1,0)+IF(AND(C42=AH4,Feats!Q45=1),1,0)+IF(AND(C42=AH5,Feats!Q46=1),1,0)+IF(AND(C42=AH6,Feats!Q47=1),1,0)+IF(AND(C42=AH7,Feats!H46=1),IF(D44&lt;=3,1,ROUNDDOWN(D44/2,0)),0)</f>
        <v>0</v>
      </c>
      <c r="M44" s="17"/>
      <c r="N44" s="19">
        <f>IF($B$2="Fine",8,IF($B$2="Diminutive",4,IF($B$2="Tiny", 2,IF($B$2="Small",1,IF($B$2="Medium",0,IF($B$2="Large",-1,IF($B$2="Huge",-2,IF($B$2="Gargantuan",-4,IF($B$2="Colossal",-8,0)))))))))</f>
        <v>0</v>
      </c>
      <c r="O44" s="17"/>
      <c r="P44" s="60"/>
      <c r="Q44" s="29"/>
      <c r="R44" s="232">
        <f>AP19</f>
        <v>0</v>
      </c>
      <c r="S44" s="534"/>
      <c r="T44" s="535"/>
      <c r="U44" s="29"/>
      <c r="V44" s="30"/>
      <c r="W44" s="30"/>
      <c r="X44" s="141" t="s">
        <v>202</v>
      </c>
      <c r="Y44" s="468">
        <f>AP5</f>
        <v>0</v>
      </c>
      <c r="Z44" s="468"/>
      <c r="AB44" s="471"/>
      <c r="AC44" s="471"/>
      <c r="AD44" s="471"/>
      <c r="AE44" s="471"/>
      <c r="AF44" s="471"/>
      <c r="AG44" s="52"/>
      <c r="AH44" s="52"/>
      <c r="AI44" s="52" t="s">
        <v>1454</v>
      </c>
      <c r="AJ44" s="52"/>
      <c r="AK44" s="52"/>
      <c r="AL44" s="29">
        <v>13</v>
      </c>
      <c r="AM44" s="376" t="str">
        <f t="shared" si="67"/>
        <v xml:space="preserve"> </v>
      </c>
      <c r="AN44" s="52"/>
      <c r="AO44" s="29"/>
      <c r="AP44" s="36" t="s">
        <v>1568</v>
      </c>
      <c r="AQ44" s="384">
        <f>IF(AND(C54=$AH$1,Feats!$Q$28=1),1,0)+IF(AND(C54=$AH$2,Feats!$Q$29=1),1,0)+IF(AND(C54=$AH$3,Feats!$Q$30=1),1,0)+IF(AND(C54=$AH$4,Feats!$Q$31=1),1,0)+IF(AND(C54=$AH$5,Feats!$Q$32=1),1,0)</f>
        <v>0</v>
      </c>
      <c r="AR44" s="52"/>
      <c r="AS44" s="29">
        <v>8</v>
      </c>
      <c r="AT44" s="233" t="s">
        <v>1434</v>
      </c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9"/>
      <c r="BH44" s="29"/>
      <c r="BI44" s="409"/>
      <c r="BJ44" s="409"/>
      <c r="BK44" s="409"/>
      <c r="BL44" s="409"/>
      <c r="BM44" s="409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6"/>
      <c r="CA44" s="394" t="s">
        <v>810</v>
      </c>
      <c r="CB44" s="394" t="s">
        <v>847</v>
      </c>
      <c r="CC44" s="395" t="s">
        <v>1573</v>
      </c>
      <c r="CD44" s="394" t="s">
        <v>1574</v>
      </c>
      <c r="CE44" s="395" t="s">
        <v>1573</v>
      </c>
      <c r="CF44" s="394" t="s">
        <v>1575</v>
      </c>
      <c r="CG44" s="233"/>
      <c r="CH44" s="233"/>
      <c r="CI44" s="233"/>
      <c r="CJ44" s="233"/>
      <c r="CK44" s="233"/>
      <c r="CL44" s="233"/>
      <c r="CM44" s="233"/>
      <c r="CN44" s="361" t="str">
        <f t="shared" si="51"/>
        <v xml:space="preserve"> </v>
      </c>
      <c r="CO44" s="361" t="str">
        <f t="shared" si="52"/>
        <v xml:space="preserve"> </v>
      </c>
      <c r="CP44" s="361" t="str">
        <f t="shared" si="53"/>
        <v xml:space="preserve"> </v>
      </c>
      <c r="CQ44" s="361" t="str">
        <f t="shared" si="54"/>
        <v xml:space="preserve"> </v>
      </c>
      <c r="CR44" s="361" t="str">
        <f t="shared" si="55"/>
        <v xml:space="preserve"> </v>
      </c>
      <c r="CS44" s="233" t="s">
        <v>1451</v>
      </c>
      <c r="CT44" s="233"/>
      <c r="CU44" s="233"/>
      <c r="CV44" s="233" t="s">
        <v>1434</v>
      </c>
      <c r="CW44" s="233"/>
      <c r="CX44" s="233"/>
      <c r="CY44" s="233" t="s">
        <v>1510</v>
      </c>
      <c r="CZ44" s="233"/>
      <c r="DA44" s="233" t="s">
        <v>973</v>
      </c>
      <c r="DB44" s="233"/>
      <c r="DC44" s="233" t="s">
        <v>931</v>
      </c>
      <c r="DD44" s="233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419" t="s">
        <v>1651</v>
      </c>
      <c r="DT44" s="422">
        <v>8700</v>
      </c>
      <c r="DU44" s="420">
        <v>2</v>
      </c>
      <c r="DV44" s="420">
        <v>60</v>
      </c>
      <c r="DW44" s="420">
        <v>3</v>
      </c>
      <c r="DX44" s="420"/>
      <c r="DY44" s="420">
        <v>55</v>
      </c>
      <c r="DZ44" s="420" t="s">
        <v>1607</v>
      </c>
      <c r="EA44" s="29">
        <v>33</v>
      </c>
      <c r="EB44" s="413" t="str">
        <f t="shared" si="61"/>
        <v>N7 Armor Medium</v>
      </c>
      <c r="EC44" s="432">
        <f t="shared" si="62"/>
        <v>2</v>
      </c>
      <c r="ED44" s="432">
        <f t="shared" si="63"/>
        <v>60</v>
      </c>
      <c r="EE44" s="432">
        <f t="shared" si="64"/>
        <v>2</v>
      </c>
      <c r="EF44" s="432" t="str">
        <f t="shared" si="65"/>
        <v>V; C; A; L</v>
      </c>
      <c r="EG44" s="432">
        <f t="shared" si="66"/>
        <v>52</v>
      </c>
      <c r="EH44" s="97">
        <f t="shared" si="56"/>
        <v>0</v>
      </c>
      <c r="EI44" s="97">
        <f t="shared" si="57"/>
        <v>0</v>
      </c>
      <c r="EJ44" s="97">
        <f t="shared" si="58"/>
        <v>0</v>
      </c>
      <c r="EK44" s="97">
        <f t="shared" si="59"/>
        <v>0</v>
      </c>
      <c r="EL44" s="97">
        <f t="shared" si="60"/>
        <v>0</v>
      </c>
      <c r="EM44" s="29"/>
      <c r="EN44" s="29"/>
      <c r="EO44" s="29"/>
      <c r="EP44" s="29"/>
      <c r="EQ44" s="29"/>
      <c r="ER44" s="29"/>
      <c r="ES44" s="29"/>
      <c r="ET44" s="29"/>
      <c r="EU44" s="29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</row>
    <row r="45" spans="1:168" ht="15.95" customHeight="1" thickBot="1" x14ac:dyDescent="0.3">
      <c r="A45" s="29"/>
      <c r="B45" s="29"/>
      <c r="C45" s="29"/>
      <c r="D45" s="148" t="s">
        <v>72</v>
      </c>
      <c r="E45" s="149"/>
      <c r="F45" s="148" t="s">
        <v>424</v>
      </c>
      <c r="G45" s="67"/>
      <c r="H45" s="140" t="s">
        <v>97</v>
      </c>
      <c r="I45" s="67"/>
      <c r="J45" s="140" t="s">
        <v>33</v>
      </c>
      <c r="K45" s="67"/>
      <c r="L45" s="140" t="s">
        <v>73</v>
      </c>
      <c r="M45" s="67"/>
      <c r="N45" s="140" t="s">
        <v>37</v>
      </c>
      <c r="O45" s="67"/>
      <c r="P45" s="140" t="s">
        <v>38</v>
      </c>
      <c r="Q45" s="150"/>
      <c r="R45" s="603" t="s">
        <v>425</v>
      </c>
      <c r="S45" s="603"/>
      <c r="T45" s="603"/>
      <c r="U45" s="29"/>
      <c r="V45" s="30"/>
      <c r="W45" s="30"/>
      <c r="X45" s="141" t="s">
        <v>420</v>
      </c>
      <c r="Y45" s="468">
        <f>AP6</f>
        <v>0</v>
      </c>
      <c r="Z45" s="468"/>
      <c r="AA45" s="30"/>
      <c r="AB45" s="471"/>
      <c r="AC45" s="471"/>
      <c r="AD45" s="471"/>
      <c r="AE45" s="471"/>
      <c r="AF45" s="471"/>
      <c r="AG45" s="52"/>
      <c r="AH45" s="52"/>
      <c r="AI45" s="52" t="s">
        <v>1455</v>
      </c>
      <c r="AJ45" s="52"/>
      <c r="AK45" s="52"/>
      <c r="AL45" s="29">
        <v>14</v>
      </c>
      <c r="AM45" s="376" t="str">
        <f t="shared" si="67"/>
        <v xml:space="preserve"> </v>
      </c>
      <c r="AN45" s="52"/>
      <c r="AO45" s="385" t="s">
        <v>1567</v>
      </c>
      <c r="AP45" s="469">
        <f>IF(AQ44=1,"Yes",0)</f>
        <v>0</v>
      </c>
      <c r="AQ45" s="470"/>
      <c r="AR45" s="52"/>
      <c r="AS45" s="29">
        <v>9</v>
      </c>
      <c r="AT45" s="233" t="s">
        <v>1434</v>
      </c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9"/>
      <c r="BH45" s="29"/>
      <c r="BI45" s="481" t="s">
        <v>874</v>
      </c>
      <c r="BJ45" s="481"/>
      <c r="BK45" s="481"/>
      <c r="BL45" s="481"/>
      <c r="BM45" s="481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6"/>
      <c r="CA45" s="394" t="s">
        <v>811</v>
      </c>
      <c r="CB45" s="394" t="s">
        <v>847</v>
      </c>
      <c r="CC45" s="395" t="s">
        <v>1573</v>
      </c>
      <c r="CD45" s="394" t="s">
        <v>1574</v>
      </c>
      <c r="CE45" s="395" t="s">
        <v>1573</v>
      </c>
      <c r="CF45" s="394" t="s">
        <v>1575</v>
      </c>
      <c r="CG45" s="233"/>
      <c r="CH45" s="233"/>
      <c r="CI45" s="233"/>
      <c r="CJ45" s="233"/>
      <c r="CK45" s="233"/>
      <c r="CL45" s="233"/>
      <c r="CM45" s="233"/>
      <c r="CN45" s="361" t="str">
        <f t="shared" si="51"/>
        <v xml:space="preserve"> </v>
      </c>
      <c r="CO45" s="361" t="str">
        <f t="shared" si="52"/>
        <v xml:space="preserve"> </v>
      </c>
      <c r="CP45" s="361" t="str">
        <f t="shared" si="53"/>
        <v xml:space="preserve"> </v>
      </c>
      <c r="CQ45" s="361" t="str">
        <f t="shared" si="54"/>
        <v xml:space="preserve"> </v>
      </c>
      <c r="CR45" s="361" t="str">
        <f t="shared" si="55"/>
        <v xml:space="preserve"> </v>
      </c>
      <c r="CS45" s="233" t="s">
        <v>1452</v>
      </c>
      <c r="CT45" s="233"/>
      <c r="CU45" s="233"/>
      <c r="CV45" s="233" t="s">
        <v>1434</v>
      </c>
      <c r="CW45" s="233"/>
      <c r="CX45" s="233"/>
      <c r="CY45" s="233" t="s">
        <v>931</v>
      </c>
      <c r="CZ45" s="233"/>
      <c r="DA45" s="233" t="s">
        <v>1434</v>
      </c>
      <c r="DB45" s="233"/>
      <c r="DC45" s="233" t="s">
        <v>923</v>
      </c>
      <c r="DD45" s="233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419" t="s">
        <v>1652</v>
      </c>
      <c r="DT45" s="422">
        <v>11715</v>
      </c>
      <c r="DU45" s="420">
        <v>3</v>
      </c>
      <c r="DV45" s="420">
        <v>45</v>
      </c>
      <c r="DW45" s="420">
        <v>2</v>
      </c>
      <c r="DX45" s="420"/>
      <c r="DY45" s="420">
        <v>50</v>
      </c>
      <c r="DZ45" s="429" t="s">
        <v>1747</v>
      </c>
      <c r="EA45" s="29">
        <v>34</v>
      </c>
      <c r="EB45" s="413" t="str">
        <f t="shared" si="61"/>
        <v>Quarian Battle Armor</v>
      </c>
      <c r="EC45" s="432">
        <f t="shared" si="62"/>
        <v>2</v>
      </c>
      <c r="ED45" s="432">
        <f t="shared" si="63"/>
        <v>70</v>
      </c>
      <c r="EE45" s="432">
        <f t="shared" si="64"/>
        <v>2</v>
      </c>
      <c r="EF45" s="432">
        <f t="shared" si="65"/>
        <v>0</v>
      </c>
      <c r="EG45" s="432">
        <f t="shared" si="66"/>
        <v>46</v>
      </c>
      <c r="EH45" s="97">
        <f t="shared" si="56"/>
        <v>0</v>
      </c>
      <c r="EI45" s="97">
        <f t="shared" si="57"/>
        <v>0</v>
      </c>
      <c r="EJ45" s="97">
        <f t="shared" si="58"/>
        <v>0</v>
      </c>
      <c r="EK45" s="97">
        <f t="shared" si="59"/>
        <v>0</v>
      </c>
      <c r="EL45" s="97">
        <f t="shared" si="60"/>
        <v>0</v>
      </c>
      <c r="EM45" s="29"/>
      <c r="EN45" s="29"/>
      <c r="EO45" s="29"/>
      <c r="EP45" s="29"/>
      <c r="EQ45" s="29"/>
      <c r="ER45" s="29"/>
      <c r="ES45" s="29"/>
      <c r="ET45" s="29"/>
      <c r="EU45" s="29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</row>
    <row r="46" spans="1:168" ht="15.95" customHeight="1" x14ac:dyDescent="0.25">
      <c r="A46" s="532" t="s">
        <v>426</v>
      </c>
      <c r="B46" s="532"/>
      <c r="C46" s="532"/>
      <c r="D46" s="142">
        <f>IF(Y45="Burst","N/A",IF(AP18="Yes",D44+F44+H44+J44+L44+N44+P44,D44+F44+H44+J44+L44+N44+P44+Y47+R44+S44))</f>
        <v>-5</v>
      </c>
      <c r="E46" s="30"/>
      <c r="F46" s="532" t="s">
        <v>430</v>
      </c>
      <c r="G46" s="532"/>
      <c r="H46" s="532"/>
      <c r="I46" s="532"/>
      <c r="J46" s="532"/>
      <c r="K46" s="533"/>
      <c r="L46" s="142">
        <f>IF(OR(Y45="Burst",Y45="Single Shot",Y45="Semi-Automatic"),"N/A",D44+F44+H44+J44+L44+N44+P44+IF(-1*IF(AP18="Yes",Y47,2*Y47)&gt;R44+S44,IF(AP18="Yes",Y47,2*Y47)+R44+S44,0))</f>
        <v>-5</v>
      </c>
      <c r="M46" s="30"/>
      <c r="N46" s="30"/>
      <c r="O46" s="29"/>
      <c r="P46" s="536" t="str">
        <f>AP13</f>
        <v>0-20/×0</v>
      </c>
      <c r="Q46" s="537"/>
      <c r="R46" s="537"/>
      <c r="S46" s="537"/>
      <c r="T46" s="538"/>
      <c r="U46" s="29"/>
      <c r="V46" s="30"/>
      <c r="W46" s="30"/>
      <c r="X46" s="141" t="s">
        <v>421</v>
      </c>
      <c r="Y46" s="468">
        <f>IF(AND(AP7&lt;=0,OR(C42=AH1,C42=AH2,C42=AH3,C42=AH4,C42=AH5)),1,AP7)</f>
        <v>0</v>
      </c>
      <c r="Z46" s="468"/>
      <c r="AA46" s="30"/>
      <c r="AB46" s="471"/>
      <c r="AC46" s="471"/>
      <c r="AD46" s="471"/>
      <c r="AE46" s="471"/>
      <c r="AF46" s="471"/>
      <c r="AG46" s="52"/>
      <c r="AH46" s="52"/>
      <c r="AI46" s="52" t="s">
        <v>1456</v>
      </c>
      <c r="AJ46" s="52"/>
      <c r="AK46" s="52"/>
      <c r="AL46" s="29">
        <v>15</v>
      </c>
      <c r="AM46" s="376" t="str">
        <f t="shared" si="67"/>
        <v xml:space="preserve"> </v>
      </c>
      <c r="AN46" s="52"/>
      <c r="AO46" s="385" t="s">
        <v>777</v>
      </c>
      <c r="AP46" s="469">
        <f>IF(BJ19="Recoil penalty -1",1,0)+IF(BK19="Recoil penalty -1",1,0)+IF(BL19="Recoil penalty -1",1,0)+IF(BM19="Recoil penalty -1",1,0)+IF(N54=CS31,-2,0)+IF(S54=CS31,-2,0)+IF(W54=CS31,-2,0)+IF(N54=CV34,1,0)+IF(S54=CV34,1,0)+IF(W54=CV34,1,0)+IF(N54=CV35,2,0)+IF(S54=CV35,2,0)+IF(W54=CV35,2,0)+IF(N54=CV36,3,0)+IF(S54=CV36,3,0)+IF(W54=CV36,3,0)+IF(N54=CY30,1,0)+IF(S54=CY30,1,0)+IF(W54=CY30,1,0)+IF(N54=CY31,2,0)+IF(S54=CY31,2,0)+IF(W54=CY31,2,0)+IF(N54=CY32,2,0)+IF(S54=CY32,2,0)+IF(W54=CY32,2,0)+IF(AB27=DS23,1,0)+IF(AB27=DS52,2,0)+IF(AB27=DS77,3,0)</f>
        <v>0</v>
      </c>
      <c r="AQ46" s="470"/>
      <c r="AR46" s="52"/>
      <c r="AS46" s="29">
        <v>10</v>
      </c>
      <c r="AT46" s="233" t="s">
        <v>1434</v>
      </c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9"/>
      <c r="BH46" s="29"/>
      <c r="BI46" s="410" t="s">
        <v>1566</v>
      </c>
      <c r="BJ46" s="411" t="s">
        <v>876</v>
      </c>
      <c r="BK46" s="411" t="s">
        <v>877</v>
      </c>
      <c r="BL46" s="411" t="s">
        <v>878</v>
      </c>
      <c r="BM46" s="411" t="s">
        <v>879</v>
      </c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6"/>
      <c r="CA46" s="394" t="s">
        <v>812</v>
      </c>
      <c r="CB46" s="394" t="s">
        <v>847</v>
      </c>
      <c r="CC46" s="395" t="s">
        <v>1573</v>
      </c>
      <c r="CD46" s="394" t="s">
        <v>1574</v>
      </c>
      <c r="CE46" s="395" t="s">
        <v>1573</v>
      </c>
      <c r="CF46" s="394" t="s">
        <v>1575</v>
      </c>
      <c r="CG46" s="233"/>
      <c r="CH46" s="233"/>
      <c r="CI46" s="233"/>
      <c r="CJ46" s="233"/>
      <c r="CK46" s="233"/>
      <c r="CL46" s="233"/>
      <c r="CM46" s="233"/>
      <c r="CN46" s="361" t="str">
        <f t="shared" si="51"/>
        <v xml:space="preserve"> </v>
      </c>
      <c r="CO46" s="361" t="str">
        <f t="shared" si="52"/>
        <v xml:space="preserve"> </v>
      </c>
      <c r="CP46" s="361" t="str">
        <f t="shared" si="53"/>
        <v xml:space="preserve"> </v>
      </c>
      <c r="CQ46" s="361" t="str">
        <f t="shared" si="54"/>
        <v xml:space="preserve"> </v>
      </c>
      <c r="CR46" s="361" t="str">
        <f t="shared" si="55"/>
        <v xml:space="preserve"> </v>
      </c>
      <c r="CS46" s="233" t="s">
        <v>1434</v>
      </c>
      <c r="CT46" s="233"/>
      <c r="CU46" s="233"/>
      <c r="CV46" s="233" t="s">
        <v>1434</v>
      </c>
      <c r="CW46" s="233"/>
      <c r="CX46" s="233"/>
      <c r="CY46" s="233" t="s">
        <v>955</v>
      </c>
      <c r="CZ46" s="233"/>
      <c r="DA46" s="233" t="s">
        <v>1434</v>
      </c>
      <c r="DB46" s="233"/>
      <c r="DC46" s="233" t="s">
        <v>924</v>
      </c>
      <c r="DD46" s="233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419" t="s">
        <v>1653</v>
      </c>
      <c r="DT46" s="422">
        <v>9930</v>
      </c>
      <c r="DU46" s="420">
        <v>2</v>
      </c>
      <c r="DV46" s="420">
        <v>60</v>
      </c>
      <c r="DW46" s="420">
        <v>2</v>
      </c>
      <c r="DX46" s="420" t="s">
        <v>1175</v>
      </c>
      <c r="DY46" s="420">
        <v>52</v>
      </c>
      <c r="DZ46" s="420" t="s">
        <v>1608</v>
      </c>
      <c r="EA46" s="29">
        <v>35</v>
      </c>
      <c r="EB46" s="413" t="str">
        <f t="shared" si="61"/>
        <v>Vohrtix Medium</v>
      </c>
      <c r="EC46" s="432">
        <f t="shared" si="62"/>
        <v>3</v>
      </c>
      <c r="ED46" s="432">
        <f t="shared" si="63"/>
        <v>60</v>
      </c>
      <c r="EE46" s="432">
        <f t="shared" si="64"/>
        <v>2</v>
      </c>
      <c r="EF46" s="432">
        <f t="shared" si="65"/>
        <v>0</v>
      </c>
      <c r="EG46" s="432">
        <f t="shared" si="66"/>
        <v>54</v>
      </c>
      <c r="EH46" s="97">
        <f t="shared" ref="EH46:EH51" si="68">IF($AB$27=EB46,EC46,0)</f>
        <v>0</v>
      </c>
      <c r="EI46" s="97">
        <f t="shared" ref="EI46:EI51" si="69">IF($AB$27=EB46,ED46,0)</f>
        <v>0</v>
      </c>
      <c r="EJ46" s="97">
        <f t="shared" ref="EJ46:EJ51" si="70">IF($AB$27=EB46,EE46,0)</f>
        <v>0</v>
      </c>
      <c r="EK46" s="97">
        <f t="shared" ref="EK46:EK51" si="71">IF($AB$27=EB46,EF46,0)</f>
        <v>0</v>
      </c>
      <c r="EL46" s="97">
        <f t="shared" ref="EL46:EL51" si="72">IF($AB$27=EB46,EG46,0)</f>
        <v>0</v>
      </c>
      <c r="EM46" s="29"/>
      <c r="EN46" s="29"/>
      <c r="EO46" s="29"/>
      <c r="EP46" s="29"/>
      <c r="EQ46" s="29"/>
      <c r="ER46" s="29"/>
      <c r="ES46" s="29"/>
      <c r="ET46" s="29"/>
      <c r="EU46" s="29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</row>
    <row r="47" spans="1:168" ht="15.95" customHeight="1" x14ac:dyDescent="0.25">
      <c r="A47" s="532" t="s">
        <v>427</v>
      </c>
      <c r="B47" s="532"/>
      <c r="C47" s="532"/>
      <c r="D47" s="142">
        <f>IF(OR(Y45="Burst",Y45="Single Shot"),"N/A",D44+F44+H44+J44+L44+N44+P44+IF(-1*IF(AP18="Yes",Y47,2*Y47)&gt;R44+S44,IF(AP18="Yes",Y47,2*Y47)+R44+S44,0))</f>
        <v>-5</v>
      </c>
      <c r="E47" s="30"/>
      <c r="F47" s="532" t="s">
        <v>431</v>
      </c>
      <c r="G47" s="532"/>
      <c r="H47" s="532"/>
      <c r="I47" s="532"/>
      <c r="J47" s="532"/>
      <c r="K47" s="533"/>
      <c r="L47" s="142">
        <f>IF(OR(Y45="Burst",Y45="Single Shot",Y45="Semi-Automatic"),"N/A",D44+F44+H44+J44+L44+N44+P44+IF(-2*IF(AP18="Yes",Y47,2*Y47)&gt;R44+S44,2*IF(AP18="Yes",Y47,2*Y47)+R44+S44,0))</f>
        <v>-5</v>
      </c>
      <c r="M47" s="30"/>
      <c r="N47" s="30"/>
      <c r="O47" s="29"/>
      <c r="P47" s="526" t="s">
        <v>85</v>
      </c>
      <c r="Q47" s="526"/>
      <c r="R47" s="526"/>
      <c r="S47" s="526"/>
      <c r="T47" s="526"/>
      <c r="U47" s="29"/>
      <c r="V47" s="30"/>
      <c r="W47" s="30"/>
      <c r="X47" s="105" t="s">
        <v>190</v>
      </c>
      <c r="Y47" s="468">
        <f>AP8</f>
        <v>0</v>
      </c>
      <c r="Z47" s="468"/>
      <c r="AA47" s="30"/>
      <c r="AB47" s="471"/>
      <c r="AC47" s="471"/>
      <c r="AD47" s="471"/>
      <c r="AE47" s="471"/>
      <c r="AF47" s="471"/>
      <c r="AG47" s="52"/>
      <c r="AH47" s="52"/>
      <c r="AI47" s="52" t="s">
        <v>1458</v>
      </c>
      <c r="AJ47" s="52"/>
      <c r="AK47" s="52"/>
      <c r="AL47" s="29">
        <v>16</v>
      </c>
      <c r="AM47" s="376" t="str">
        <f t="shared" si="67"/>
        <v xml:space="preserve"> </v>
      </c>
      <c r="AN47" s="52"/>
      <c r="AO47" s="52"/>
      <c r="AP47" s="52"/>
      <c r="AQ47" s="52"/>
      <c r="AR47" s="52"/>
      <c r="AS47" s="29">
        <v>11</v>
      </c>
      <c r="AT47" s="233" t="s">
        <v>1434</v>
      </c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9"/>
      <c r="BH47" s="29"/>
      <c r="BI47" s="409" t="s">
        <v>1552</v>
      </c>
      <c r="BJ47" s="407">
        <f>IF(AND($C$90=$AH$1,OR($L$90=$BJ$3,$L$90=$BK$3,$L$90=$BL$3,$L$90=$BM$3),$G$90=$CA$7),CC7,IF(AND($C$90=$AH$1,OR($L$90=$BJ$3,$L$90=$BK$3,$L$90=$BL$3,$L$90=$BM$3),$G$90=$CA$9),CC9,IF(AND($C$90=$AH$1,OR($L$90=$BJ$3,$L$90=$BK$3,$L$90=$BL$3,$L$90=$BM$3),$G$90=$CA$10),CC10,IF(AND($C$90=$AH$1,OR($L$90=$BJ$3,$L$90=$BK$3,$L$90=$BL$3,$L$90=$BM$3),$G$90=$CA$11),CC11,IF(AND($C$90=$AH$1,OR($L$90=$BJ$3,$L$90=$BK$3,$L$90=$BL$3,$L$90=$BM$3),$G$90=$CA$12),CC12,IF(AND($C$90=$AH$1,OR($L$90=$BJ$3,$L$90=$BK$3,$L$90=$BL$3,$L$90=$BM$3),$G$90=$CA$13),CC13,IF(AND($C$90=$AH$1,OR($L$90=$BJ$3,$L$90=$BK$3,$L$90=$BL$3,$L$90=$BM$3),$G$90=$CA$14),CC14,IF(AND($C$90=$AH$1,OR($L$90=$BJ$3,$L$90=$BK$3,$L$90=$BL$3,$L$90=$BM$3),$G$90=$CA$15),CC15,IF(AND($C$90=$AH$1,OR($L$90=$BJ$3,$L$90=$BK$3,$L$90=$BL$3,$L$90=$BM$3),$G$90=$CA$16),CC16,IF(AND($C$90=$AH$1,OR($L$90=$BJ$3,$L$90=$BK$3,$L$90=$BL$3,$L$90=$BM$3),$G$90=$CA$17),CC17,IF(AND($C$90=$AH$1,OR($L$90=$BJ$3,$L$90=$BK$3,$L$90=$BL$3,$L$90=$BM$3),$G$90=$CA$18),CC18,IF(AND($C$90=$AH$1,OR($L$90=$BJ$3,$L$90=$BK$3,$L$90=$BL$3,$L$90=$BM$3),$G$90=$CA$19),CC19,IF(AND($C$90=$AH$1,OR($L$90=$BJ$3,$L$90=$BK$3,$L$90=$BL$3,$L$90=$BM$3),$G$90=$CA$20),CC20,0)))))))))))))</f>
        <v>0</v>
      </c>
      <c r="BK47" s="407">
        <f>IF(AND($C$90=$AH$1,OR($L$90=$BK$3,$L$90=$BL$3,$L$90=$BM$3),$G$90=$CA$7),CD7,IF(AND($C$90=$AH$1,OR($L$90=$BK$3,$L$90=$BL$3,$L$90=$BM$3),$G$90=$CA$9),CD9,IF(AND($C$90=$AH$1,OR($L$90=$BK$3,$L$90=$BL$3,$L$90=$BM$3),$G$90=$CA$10),CD10,IF(AND($C$90=$AH$1,OR($L$90=$BK$3,$L$90=$BL$3,$L$90=$BM$3),$G$90=$CA$11),CD11,IF(AND($C$90=$AH$1,OR($L$90=$BK$3,$L$90=$BL$3,$L$90=$BM$3),$G$90=$CA$12),CD12,IF(AND($C$90=$AH$1,OR($L$90=$BK$3,$L$90=$BL$3,$L$90=$BM$3),$G$90=$CA$13),CD13,IF(AND($C$90=$AH$1,OR($L$90=$BK$3,$L$90=$BL$3,$L$90=$BM$3),$G$90=$CA$14),CD14,IF(AND($C$90=$AH$1,OR($L$90=$BK$3,$L$90=$BL$3,$L$90=$BM$3),$G$90=$CA$15),CD15,IF(AND($C$90=$AH$1,OR($L$90=$BK$3,$L$90=$BL$3,$L$90=$BM$3),$G$90=$CA$16),CD16,IF(AND($C$90=$AH$1,OR($L$90=$BK$3,$L$90=$BL$3,$L$90=$BM$3),$G$90=$CA$17),CD17,IF(AND($C$90=$AH$1,OR($L$90=$BK$3,$L$90=$BL$3,$L$90=$BM$3),$G$90=$CA$18),CD18,IF(AND($C$90=$AH$1,OR($L$90=$BK$3,$L$90=$BL$3,$L$90=$BM$3),$G$90=$CA$19),CD19,IF(AND($C$90=$AH$1,OR($L$90=$BK$3,$L$90=$BL$3,$L$90=$BM$3),$G$90=$CA$20),CD20,0)))))))))))))</f>
        <v>0</v>
      </c>
      <c r="BL47" s="407">
        <f>IF(AND($C$90=$AH$1,OR($L$90=$BL$3,$L$90=$BM$3),$G$90=$CA$7),CE7,IF(AND($C$90=$AH$1,OR($L$90=$BL$3,$L$90=$BM$3),$G$90=$CA$9),CE9,IF(AND($C$90=$AH$1,OR($L$90=$BL$3,$L$90=$BM$3),$G$90=$CA$10),CE10,IF(AND($C$90=$AH$1,OR($L$90=$BL$3,$L$90=$BM$3),$G$90=$CA$11),CE11,IF(AND($C$90=$AH$1,OR($L$90=$BL$3,$L$90=$BM$3),$G$90=$CA$12),CE12,IF(AND($C$90=$AH$1,OR($L$90=$BL$3,$L$90=$BM$3),$G$90=$CA$13),CE13,IF(AND($C$90=$AH$1,OR($L$90=$BL$3,$L$90=$BM$3),$G$90=$CA$14),CE14,IF(AND($C$90=$AH$1,OR($L$90=$BL$3,$L$90=$BM$3),$G$90=$CA$15),CE15,IF(AND($C$90=$AH$1,OR($L$90=$BL$3,$L$90=$BM$3),$G$90=$CA$16),CE16,IF(AND($C$90=$AH$1,OR($L$90=$BL$3,$L$90=$BM$3),$G$90=$CA$17),CE17,IF(AND($C$90=$AH$1,OR($L$90=$BL$3,$L$90=$BM$3),$G$90=$CA$18),CE18,IF(AND($C$90=$AH$1,OR($L$90=$BL$3,$L$90=$BM$3),$G$90=$CA$19),CE19,IF(AND($C$90=$AH$1,OR($L$90=$BL$3,$L$90=$BM$3),$G$90=$CA$20),CE20,0)))))))))))))</f>
        <v>0</v>
      </c>
      <c r="BM47" s="407">
        <f>IF(AND($C$90=$AH$1,OR($L$90=$BM$3),$G$90=$CA$7),CF7,IF(AND($C$90=$AH$1,OR($L$90=$BM$3),$G$90=$CA$9),CF9,IF(AND($C$90=$AH$1,OR($L$90=$BM$3),$G$90=$CA$10),CF10,IF(AND($C$90=$AH$1,OR($L$90=$BM$3),$G$90=$CA$11),CF11,IF(AND($C$90=$AH$1,OR($L$90=$BM$3),$G$90=$CA$12),CF12,IF(AND($C$90=$AH$1,OR($L$90=$BM$3),$G$90=$CA$13),CF13,IF(AND($C$90=$AH$1,OR($L$90=$BM$3),$G$90=$CA$14),CF14,IF(AND($C$90=$AH$1,OR($L$90=$BM$3),$G$90=$CA$15),CF15,IF(AND($C$90=$AH$1,OR($L$90=$BM$3),$G$90=$CA$16),CF16,IF(AND($C$90=$AH$1,OR($L$90=$BM$3),$G$90=$CA$17),CF17,IF(AND($C$90=$AH$1,OR($L$90=$BM$3),$G$90=$CA$18),CF18,IF(AND($C$90=$AH$1,OR($L$90=$BM$3),$G$90=$CA$19),CF19,IF(AND($C$90=$AH$1,OR($L$90=$BM$3),$G$90=$CA$20),CF20,0)))))))))))))</f>
        <v>0</v>
      </c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6"/>
      <c r="CA47" s="394" t="s">
        <v>861</v>
      </c>
      <c r="CB47" s="394" t="s">
        <v>847</v>
      </c>
      <c r="CC47" s="395" t="s">
        <v>1573</v>
      </c>
      <c r="CD47" s="394" t="s">
        <v>1574</v>
      </c>
      <c r="CE47" s="395" t="s">
        <v>1573</v>
      </c>
      <c r="CF47" s="394" t="s">
        <v>1575</v>
      </c>
      <c r="CG47" s="233"/>
      <c r="CH47" s="233"/>
      <c r="CI47" s="233"/>
      <c r="CJ47" s="233"/>
      <c r="CK47" s="233"/>
      <c r="CL47" s="233"/>
      <c r="CM47" s="233"/>
      <c r="CN47" s="361" t="str">
        <f t="shared" si="51"/>
        <v xml:space="preserve"> </v>
      </c>
      <c r="CO47" s="361" t="str">
        <f t="shared" si="52"/>
        <v xml:space="preserve"> </v>
      </c>
      <c r="CP47" s="361" t="str">
        <f t="shared" si="53"/>
        <v xml:space="preserve"> </v>
      </c>
      <c r="CQ47" s="361" t="str">
        <f t="shared" si="54"/>
        <v xml:space="preserve"> </v>
      </c>
      <c r="CR47" s="361" t="str">
        <f t="shared" si="55"/>
        <v xml:space="preserve"> </v>
      </c>
      <c r="CS47" s="233" t="s">
        <v>1434</v>
      </c>
      <c r="CT47" s="233"/>
      <c r="CU47" s="233"/>
      <c r="CV47" s="233" t="s">
        <v>1434</v>
      </c>
      <c r="CW47" s="233"/>
      <c r="CX47" s="233"/>
      <c r="CY47" s="233" t="s">
        <v>956</v>
      </c>
      <c r="CZ47" s="233"/>
      <c r="DA47" s="233" t="s">
        <v>1434</v>
      </c>
      <c r="DB47" s="233"/>
      <c r="DC47" s="233" t="s">
        <v>925</v>
      </c>
      <c r="DD47" s="233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421" t="s">
        <v>1188</v>
      </c>
      <c r="DT47" s="422">
        <v>12400</v>
      </c>
      <c r="DU47" s="420">
        <v>2</v>
      </c>
      <c r="DV47" s="420">
        <v>70</v>
      </c>
      <c r="DW47" s="420">
        <v>2</v>
      </c>
      <c r="DX47" s="420"/>
      <c r="DY47" s="420">
        <v>46</v>
      </c>
      <c r="DZ47" s="420"/>
      <c r="EA47" s="29">
        <v>36</v>
      </c>
      <c r="EB47" s="413" t="str">
        <f t="shared" si="61"/>
        <v>Colossus Medium</v>
      </c>
      <c r="EC47" s="432">
        <f t="shared" si="62"/>
        <v>3</v>
      </c>
      <c r="ED47" s="432">
        <f t="shared" si="63"/>
        <v>70</v>
      </c>
      <c r="EE47" s="432">
        <f t="shared" si="64"/>
        <v>2</v>
      </c>
      <c r="EF47" s="432">
        <f t="shared" si="65"/>
        <v>0</v>
      </c>
      <c r="EG47" s="432">
        <f t="shared" si="66"/>
        <v>58</v>
      </c>
      <c r="EH47" s="97">
        <f t="shared" si="68"/>
        <v>0</v>
      </c>
      <c r="EI47" s="97">
        <f t="shared" si="69"/>
        <v>0</v>
      </c>
      <c r="EJ47" s="97">
        <f t="shared" si="70"/>
        <v>0</v>
      </c>
      <c r="EK47" s="97">
        <f t="shared" si="71"/>
        <v>0</v>
      </c>
      <c r="EL47" s="97">
        <f t="shared" si="72"/>
        <v>0</v>
      </c>
      <c r="EM47" s="29"/>
      <c r="EN47" s="29"/>
      <c r="EO47" s="29"/>
      <c r="EP47" s="29"/>
      <c r="EQ47" s="29"/>
      <c r="ER47" s="29"/>
      <c r="ES47" s="29"/>
      <c r="ET47" s="29"/>
      <c r="EU47" s="29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</row>
    <row r="48" spans="1:168" ht="15.95" customHeight="1" x14ac:dyDescent="0.25">
      <c r="A48" s="532" t="s">
        <v>428</v>
      </c>
      <c r="B48" s="532"/>
      <c r="C48" s="532"/>
      <c r="D48" s="142">
        <f>IF(Y45="Single Shot","N/A",D44+F44+H44+J44+L44+N44+P44+IF(-1*IF(AP18="Yes",Y47,2*Y47)&gt;R44+S44,IF(AP18="Yes",Y47,2*Y47)+R44+S44,0))</f>
        <v>-5</v>
      </c>
      <c r="E48" s="30"/>
      <c r="F48" s="532" t="s">
        <v>432</v>
      </c>
      <c r="G48" s="532"/>
      <c r="H48" s="532"/>
      <c r="I48" s="532"/>
      <c r="J48" s="532"/>
      <c r="K48" s="533"/>
      <c r="L48" s="142">
        <f>IF(OR(Y45="Burst",Y45="Single Shot",Y45="Semi-Automatic"),"N/A",D44+F44+H44+J44+L44+N44+P44+IF(-3*IF(AP18="Yes",Y47,2*Y47)&gt;R44+S44,3*IF(AP18="Yes",Y47,2*Y47)+R44+S44,0))</f>
        <v>-5</v>
      </c>
      <c r="M48" s="30"/>
      <c r="N48" s="30"/>
      <c r="O48" s="29"/>
      <c r="P48" s="525"/>
      <c r="Q48" s="525"/>
      <c r="R48" s="525"/>
      <c r="S48" s="525"/>
      <c r="T48" s="525"/>
      <c r="U48" s="525"/>
      <c r="V48" s="525"/>
      <c r="W48" s="30"/>
      <c r="X48" s="105" t="s">
        <v>191</v>
      </c>
      <c r="Y48" s="468">
        <f>AP9</f>
        <v>0</v>
      </c>
      <c r="Z48" s="468"/>
      <c r="AA48" s="30"/>
      <c r="AB48" s="471"/>
      <c r="AC48" s="471"/>
      <c r="AD48" s="471"/>
      <c r="AE48" s="471"/>
      <c r="AF48" s="471"/>
      <c r="AG48" s="52"/>
      <c r="AH48" s="52"/>
      <c r="AI48" s="52" t="s">
        <v>1459</v>
      </c>
      <c r="AJ48" s="52"/>
      <c r="AK48" s="52"/>
      <c r="AL48" s="29">
        <v>17</v>
      </c>
      <c r="AM48" s="376" t="str">
        <f t="shared" si="67"/>
        <v xml:space="preserve"> </v>
      </c>
      <c r="AN48" s="52"/>
      <c r="AO48" s="52"/>
      <c r="AP48" s="52"/>
      <c r="AQ48" s="52"/>
      <c r="AR48" s="52"/>
      <c r="AS48" s="29">
        <v>12</v>
      </c>
      <c r="AT48" s="233" t="s">
        <v>1434</v>
      </c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9"/>
      <c r="BH48" s="29"/>
      <c r="BI48" s="409" t="s">
        <v>1537</v>
      </c>
      <c r="BJ48" s="407">
        <f>IF(AND($C$90=$AH$2,OR($L$90=$BJ$3,$L$90=$BK$3,$L$90=$BL$3,$L$90=$BM$3),$G$90=$CA$25),CC25,IF(AND($C$90=$AH$2,OR($L$90=$BJ$3,$L$90=$BK$3,$L$90=$BL$3,$L$90=$BM$3),$G$90=$CA$26),CC26,IF(AND($C$90=$AH$2,OR($L$90=$BJ$3,$L$90=$BK$3,$L$90=$BL$3,$L$90=$BM$3),$G$90=$CA$27),CC27,IF(AND($C$90=$AH$2,OR($L$90=$BJ$3,$L$90=$BK$3,$L$90=$BL$3,$L$90=$BM$3),$G$90=$CA$28),CC28,IF(AND($C$90=$AH$2,OR($L$90=$BJ$3,$L$90=$BK$3,$L$90=$BL$3,$L$90=$BM$3),$G$90=$CA$29),CC29,IF(AND($C$90=$AH$2,OR($L$90=$BJ$3,$L$90=$BK$3,$L$90=$BL$3,$L$90=$BM$3),$G$90=$CA$30),CC30,IF(AND($C$90=$AH$2,OR($L$90=$BJ$3,$L$90=$BK$3,$L$90=$BL$3,$L$90=$BM$3),$G$90=$CA$31),CC31,IF(AND($C$90=$AH$2,OR($L$90=$BJ$3,$L$90=$BK$3,$L$90=$BL$3,$L$90=$BM$3),$G$90=$CA$32),CC32,IF(AND($C$90=$AH$2,OR($L$90=$BJ$3,$L$90=$BK$3,$L$90=$BL$3,$L$90=$BM$3),$G$90=$CA$33),CC33,0)))))))))</f>
        <v>0</v>
      </c>
      <c r="BK48" s="407">
        <f>IF(AND($C$90=$AH$2,OR($L$90=$BK$3,$L$90=$BL$3,$L$90=$BM$3),$G$90=$CA$25),CD25,IF(AND($C$90=$AH$2,OR($L$90=$BK$3,$L$90=$BL$3,$L$90=$BM$3),$G$90=$CA$26),CD26,IF(AND($C$90=$AH$2,OR($L$90=$BK$3,$L$90=$BL$3,$L$90=$BM$3),$G$90=$CA$27),CD27,IF(AND($C$90=$AH$2,OR($L$90=$BK$3,$L$90=$BL$3,$L$90=$BM$3),$G$90=$CA$28),CD28,IF(AND($C$90=$AH$2,OR($L$90=$BK$3,$L$90=$BL$3,$L$90=$BM$3),$G$90=$CA$29),CD29,IF(AND($C$90=$AH$2,OR($L$90=$BK$3,$L$90=$BL$3,$L$90=$BM$3),$G$90=$CA$30),CD30,IF(AND($C$90=$AH$2,OR($L$90=$BK$3,$L$90=$BL$3,$L$90=$BM$3),$G$90=$CA$31),CD31,IF(AND($C$90=$AH$2,OR($L$90=$BK$3,$L$90=$BL$3,$L$90=$BM$3),$G$90=$CA$32),CD32,IF(AND($C$90=$AH$2,OR($L$90=$BK$3,$L$90=$BL$3,$L$90=$BM$3),$G$90=$CA$33),CD33,0)))))))))</f>
        <v>0</v>
      </c>
      <c r="BL48" s="407">
        <f>IF(AND($C$90=$AH$2,OR($L$90=$BL$3,$L$90=$BM$3),$G$90=$CA$25),CE25,IF(AND($C$90=$AH$2,OR($L$90=$BL$3,$L$90=$BM$3),$G$90=$CA$26),CE26,IF(AND($C$90=$AH$2,OR($L$90=$BL$3,$L$90=$BM$3),$G$90=$CA$27),CE27,IF(AND($C$90=$AH$2,OR($L$90=$BL$3,$L$90=$BM$3),$G$90=$CA$28),CE28,IF(AND($C$90=$AH$2,OR($L$90=$BL$3,$L$90=$BM$3),$G$90=$CA$29),CE29,IF(AND($C$90=$AH$2,OR($L$90=$BL$3,$L$90=$BM$3),$G$90=$CA$30),CE30,IF(AND($C$90=$AH$2,OR($L$90=$BL$3,$L$90=$BM$3),$G$90=$CA$31),CE31,IF(AND($C$90=$AH$2,OR($L$90=$BL$3,$L$90=$BM$3),$G$90=$CA$32),CE32,IF(AND($C$90=$AH$2,OR($L$90=$BL$3,$L$90=$BM$3),$G$90=$CA$33),CE33,0)))))))))</f>
        <v>0</v>
      </c>
      <c r="BM48" s="407">
        <f>IF(AND($C$90=$AH$2,OR($L$90=$BM$3),$G$90=$CA$25),CF25,IF(AND($C$90=$AH$2,OR($L$90=$BM$3),$G$90=$CA$26),CF26,IF(AND($C$90=$AH$2,OR($L$90=$BM$3),$G$90=$CA$27),CF27,IF(AND($C$90=$AH$2,OR($L$90=$BM$3),$G$90=$CA$28),CF28,IF(AND($C$90=$AH$2,OR($L$90=$BM$3),$G$90=$CA$29),CF29,IF(AND($C$90=$AH$2,OR($L$90=$BM$3),$G$90=$CA$30),CF30,IF(AND($C$90=$AH$2,OR($L$90=$BM$3),$G$90=$CA$31),CF31,IF(AND($C$90=$AH$2,OR($L$90=$BM$3),$G$90=$CA$32),CF32,IF(AND($C$90=$AH$2,OR($L$90=$BM$3),$G$90=$CA$33),CF33,0)))))))))</f>
        <v>0</v>
      </c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6"/>
      <c r="CA48" s="394" t="s">
        <v>863</v>
      </c>
      <c r="CB48" s="394" t="s">
        <v>847</v>
      </c>
      <c r="CC48" s="395" t="s">
        <v>1573</v>
      </c>
      <c r="CD48" s="394" t="s">
        <v>1574</v>
      </c>
      <c r="CE48" s="395" t="s">
        <v>1573</v>
      </c>
      <c r="CF48" s="394" t="s">
        <v>1575</v>
      </c>
      <c r="CG48" s="233"/>
      <c r="CH48" s="233"/>
      <c r="CI48" s="233"/>
      <c r="CJ48" s="233"/>
      <c r="CK48" s="233"/>
      <c r="CL48" s="233"/>
      <c r="CM48" s="233"/>
      <c r="CN48" s="361" t="str">
        <f t="shared" si="51"/>
        <v xml:space="preserve"> </v>
      </c>
      <c r="CO48" s="361" t="str">
        <f t="shared" si="52"/>
        <v xml:space="preserve"> </v>
      </c>
      <c r="CP48" s="361" t="str">
        <f t="shared" si="53"/>
        <v xml:space="preserve"> </v>
      </c>
      <c r="CQ48" s="361" t="str">
        <f t="shared" si="54"/>
        <v xml:space="preserve"> </v>
      </c>
      <c r="CR48" s="361" t="str">
        <f t="shared" si="55"/>
        <v xml:space="preserve"> </v>
      </c>
      <c r="CS48" s="233" t="s">
        <v>1434</v>
      </c>
      <c r="CT48" s="233"/>
      <c r="CU48" s="233"/>
      <c r="CV48" s="233" t="s">
        <v>1434</v>
      </c>
      <c r="CW48" s="233"/>
      <c r="CX48" s="233"/>
      <c r="CY48" s="233" t="s">
        <v>1015</v>
      </c>
      <c r="CZ48" s="233"/>
      <c r="DA48" s="233" t="s">
        <v>1434</v>
      </c>
      <c r="DB48" s="233"/>
      <c r="DC48" s="233" t="s">
        <v>926</v>
      </c>
      <c r="DD48" s="233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421" t="s">
        <v>1654</v>
      </c>
      <c r="DT48" s="422">
        <v>13750</v>
      </c>
      <c r="DU48" s="420">
        <v>3</v>
      </c>
      <c r="DV48" s="420">
        <v>60</v>
      </c>
      <c r="DW48" s="420">
        <v>2</v>
      </c>
      <c r="DX48" s="420"/>
      <c r="DY48" s="420">
        <v>54</v>
      </c>
      <c r="DZ48" s="420" t="s">
        <v>1166</v>
      </c>
      <c r="EA48" s="29">
        <v>37</v>
      </c>
      <c r="EB48" s="413" t="str">
        <f t="shared" si="61"/>
        <v>Nightmare</v>
      </c>
      <c r="EC48" s="432">
        <f t="shared" si="62"/>
        <v>1</v>
      </c>
      <c r="ED48" s="432">
        <f t="shared" si="63"/>
        <v>60</v>
      </c>
      <c r="EE48" s="432">
        <f t="shared" si="64"/>
        <v>2</v>
      </c>
      <c r="EF48" s="432">
        <f t="shared" si="65"/>
        <v>0</v>
      </c>
      <c r="EG48" s="432">
        <f t="shared" si="66"/>
        <v>54</v>
      </c>
      <c r="EH48" s="97">
        <f t="shared" si="68"/>
        <v>0</v>
      </c>
      <c r="EI48" s="97">
        <f t="shared" si="69"/>
        <v>0</v>
      </c>
      <c r="EJ48" s="97">
        <f t="shared" si="70"/>
        <v>0</v>
      </c>
      <c r="EK48" s="97">
        <f t="shared" si="71"/>
        <v>0</v>
      </c>
      <c r="EL48" s="97">
        <f t="shared" si="72"/>
        <v>0</v>
      </c>
      <c r="EM48" s="29"/>
      <c r="EN48" s="29"/>
      <c r="EO48" s="29"/>
      <c r="EP48" s="29"/>
      <c r="EQ48" s="29"/>
      <c r="ER48" s="29"/>
      <c r="ES48" s="29"/>
      <c r="ET48" s="29"/>
      <c r="EU48" s="29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</row>
    <row r="49" spans="1:168" ht="15.95" customHeight="1" x14ac:dyDescent="0.25">
      <c r="A49" s="532" t="s">
        <v>429</v>
      </c>
      <c r="B49" s="532"/>
      <c r="C49" s="532"/>
      <c r="D49" s="142">
        <f>IF(Y45="Single Shot","N/A",D44+F44+H44+J44+L44+N44+P44+IF(-2*IF(AP18="Yes",Y47,2*Y47)&gt;R44+S44,2*IF(AP18="Yes",Y47,2*Y47)+R44+S44,0))</f>
        <v>-5</v>
      </c>
      <c r="E49" s="30"/>
      <c r="F49" s="30"/>
      <c r="G49" s="30"/>
      <c r="H49" s="30"/>
      <c r="I49" s="30"/>
      <c r="J49" s="30"/>
      <c r="K49" s="528" t="s">
        <v>433</v>
      </c>
      <c r="L49" s="528"/>
      <c r="M49" s="528"/>
      <c r="N49" s="30"/>
      <c r="O49" s="29"/>
      <c r="P49" s="525"/>
      <c r="Q49" s="525"/>
      <c r="R49" s="525"/>
      <c r="S49" s="525"/>
      <c r="T49" s="525"/>
      <c r="U49" s="525"/>
      <c r="V49" s="525"/>
      <c r="W49" s="30"/>
      <c r="X49" s="220" t="s">
        <v>583</v>
      </c>
      <c r="Y49" s="468">
        <f>AP10</f>
        <v>0</v>
      </c>
      <c r="Z49" s="468"/>
      <c r="AA49" s="30"/>
      <c r="AB49" s="471"/>
      <c r="AC49" s="471"/>
      <c r="AD49" s="471"/>
      <c r="AE49" s="471"/>
      <c r="AF49" s="471"/>
      <c r="AG49" s="52"/>
      <c r="AH49" s="52"/>
      <c r="AI49" s="52" t="s">
        <v>1460</v>
      </c>
      <c r="AJ49" s="52"/>
      <c r="AK49" s="52"/>
      <c r="AL49" s="29">
        <v>18</v>
      </c>
      <c r="AM49" s="376" t="str">
        <f t="shared" si="67"/>
        <v xml:space="preserve"> </v>
      </c>
      <c r="AN49" s="52"/>
      <c r="AO49" s="52"/>
      <c r="AP49" s="52"/>
      <c r="AQ49" s="52"/>
      <c r="AR49" s="52"/>
      <c r="AS49" s="29">
        <v>13</v>
      </c>
      <c r="AT49" s="233" t="s">
        <v>1434</v>
      </c>
      <c r="AU49" s="233"/>
      <c r="AV49" s="233"/>
      <c r="AW49" s="233"/>
      <c r="AX49" s="233"/>
      <c r="AY49" s="233"/>
      <c r="AZ49" s="233"/>
      <c r="BA49" s="233"/>
      <c r="BB49" s="233"/>
      <c r="BC49" s="233"/>
      <c r="BD49" s="233"/>
      <c r="BE49" s="233"/>
      <c r="BF49" s="233"/>
      <c r="BG49" s="29"/>
      <c r="BH49" s="29"/>
      <c r="BI49" s="409" t="s">
        <v>1534</v>
      </c>
      <c r="BJ49" s="407">
        <f>IF(AND($C$90=$AH$3,OR($L$90=$BJ$3,$L$90=$BK$3,$L$90=$BL$3,$L$90=$BM$3),$G$90=$CA$41),CC41,IF(AND($C$90=$AH$3,OR($L$90=$BJ$3,$L$90=$BK$3,$L$90=$BL$3,$L$90=$BM$3),$G$90=$CA$42),CC42,IF(AND($C$90=$AH$3,OR($L$90=$BJ$3,$L$90=$BK$3,$L$90=$BL$3,$L$90=$BM$3),$G$90=$CA$43),CC43,IF(AND($C$90=$AH$3,OR($L$90=$BJ$3,$L$90=$BK$3,$L$90=$BL$3,$L$90=$BM$3),$G$90=$CA$44),CC44,IF(AND($C$90=$AH$3,OR($L$90=$BJ$3,$L$90=$BK$3,$L$90=$BL$3,$L$90=$BM$3),$G$90=$CA$45),CC45,IF(AND($C$90=$AH$3,OR($L$90=$BJ$3,$L$90=$BK$3,$L$90=$BL$3,$L$90=$BM$3),$G$90=$CA$46),CC46,IF(AND($C$90=$AH$3,OR($L$90=$BJ$3,$L$90=$BK$3,$L$90=$BL$3,$L$90=$BM$3),$G$90=$CA$47),CC47,IF(AND($C$90=$AH$3,OR($L$90=$BJ$3,$L$90=$BK$3,$L$90=$BL$3,$L$90=$BM$3),$G$90=$CA$48),CC48,IF(AND($C$90=$AH$3,OR($L$90=$BJ$3,$L$90=$BK$3,$L$90=$BL$3,$L$90=$BM$3),$G$90=$CA$49),CC49,IF(AND($C$90=$AH$3,OR($L$90=$BJ$3,$L$90=$BK$3,$L$90=$BL$3,$L$90=$BM$3),$G$90=$CA$50),CC50,IF(AND($C$90=$AH$3,OR($L$90=$BJ$3,$L$90=$BK$3,$L$90=$BL$3,$L$90=$BM$3),$G$90=$CA$51),CC51,IF(AND($C$90=$AH$3,OR($L$90=$BJ$3,$L$90=$BK$3,$L$90=$BL$3,$L$90=$BM$3),$G$90=$CA$52),CC52,IF(AND($C$90=$AH$3,OR($L$90=$BJ$3,$L$90=$BK$3,$L$90=$BL$3,$L$90=$BM$3),$G$90=$CA$53),CC53,IF(AND($C$90=$AH$3,OR($L$90=$BJ$3,$L$90=$BK$3,$L$90=$BL$3,$L$90=$BM$3),$G$90=$CA$54),CC54,IF(AND($C$90=$AH$3,OR($L$90=$BJ$3,$L$90=$BK$3,$L$90=$BL$3,$L$90=$BM$3),$G$90=$CA$55),CC55,IF(AND($C$90=$AH$3,OR($L$90=$BJ$3,$L$90=$BK$3,$L$90=$BL$3,$L$90=$BM$3),$G$90=$CA$56),CC56,IF(AND($C$90=$AH$3,OR($L$90=$BJ$3,$L$90=$BK$3,$L$90=$BL$3,$L$90=$BM$3),$G$90=$CA$57),CC57,IF(AND($C$90=$AH$3,OR($L$90=$BJ$3,$L$90=$BK$3,$L$90=$BL$3,$L$90=$BM$3),$G$90=$CA$58),CC58,IF(AND($C$90=$AH$3,OR($L$90=$BJ$3,$L$90=$BK$3,$L$90=$BL$3,$L$90=$BM$3),$G$90=$CA$59),CC59,IF(AND($C$90=$AH$3,OR($L$90=$BJ$3,$L$90=$BK$3,$L$90=$BL$3,$L$90=$BM$3),$G$90=$CA$60),CC60,IF(AND($C$90=$AH$3,OR($L$90=$BJ$3,$L$90=$BK$3,$L$90=$BL$3,$L$90=$BM$3),$G$90=$CA$61),CC61,IF(AND($C$90=$AH$3,OR($L$90=$BJ$3,$L$90=$BK$3,$L$90=$BL$3,$L$90=$BM$3),$G$90=$CA$62),CC62,0))))))))))))))))))))))</f>
        <v>0</v>
      </c>
      <c r="BK49" s="407">
        <f>IF(AND($C$90=$AH$3,OR($L$90=$BK$3,$L$90=$BL$3,$L$90=$BM$3),$G$90=$CA$41),CD41,IF(AND($C$90=$AH$3,OR($L$90=$BK$3,$L$90=$BL$3,$L$90=$BM$3),$G$90=$CA$42),CD42,IF(AND($C$90=$AH$3,OR($L$90=$BK$3,$L$90=$BL$3,$L$90=$BM$3),$G$90=$CA$43),CD43,IF(AND($C$90=$AH$3,OR($L$90=$BK$3,$L$90=$BL$3,$L$90=$BM$3),$G$90=$CA$44),CD44,IF(AND($C$90=$AH$3,OR($L$90=$BK$3,$L$90=$BL$3,$L$90=$BM$3),$G$90=$CA$45),CD45,IF(AND($C$90=$AH$3,OR($L$90=$BK$3,$L$90=$BL$3,$L$90=$BM$3),$G$90=$CA$46),CD46,IF(AND($C$90=$AH$3,OR($L$90=$BK$3,$L$90=$BL$3,$L$90=$BM$3),$G$90=$CA$47),CD47,IF(AND($C$90=$AH$3,OR($L$90=$BK$3,$L$90=$BL$3,$L$90=$BM$3),$G$90=$CA$48),CD48,IF(AND($C$90=$AH$3,OR($L$90=$BK$3,$L$90=$BL$3,$L$90=$BM$3),$G$90=$CA$49),CD49,IF(AND($C$90=$AH$3,OR($L$90=$BK$3,$L$90=$BL$3,$L$90=$BM$3),$G$90=$CA$50),CD50,IF(AND($C$90=$AH$3,OR($L$90=$BK$3,$L$90=$BL$3,$L$90=$BM$3),$G$90=$CA$51),CD51,IF(AND($C$90=$AH$3,OR($L$90=$BK$3,$L$90=$BL$3,$L$90=$BM$3),$G$90=$CA$52),CD52,IF(AND($C$90=$AH$3,OR($L$90=$BK$3,$L$90=$BL$3,$L$90=$BM$3),$G$90=$CA$53),CD53,IF(AND($C$90=$AH$3,OR($L$90=$BK$3,$L$90=$BL$3,$L$90=$BM$3),$G$90=$CA$54),CD54,IF(AND($C$90=$AH$3,OR($L$90=$BK$3,$L$90=$BL$3,$L$90=$BM$3),$G$90=$CA$55),CD55,IF(AND($C$90=$AH$3,OR($L$90=$BK$3,$L$90=$BL$3,$L$90=$BM$3),$G$90=$CA$56),CD56,IF(AND($C$90=$AH$3,OR($L$90=$BK$3,$L$90=$BL$3,$L$90=$BM$3),$G$90=$CA$57),CD57,IF(AND($C$90=$AH$3,OR($L$90=$BK$3,$L$90=$BL$3,$L$90=$BM$3),$G$90=$CA$58),CD58,IF(AND($C$90=$AH$3,OR($L$90=$BK$3,$L$90=$BL$3,$L$90=$BM$3),$G$90=$CA$59),CD59,IF(AND($C$90=$AH$3,OR($L$90=$BK$3,$L$90=$BL$3,$L$90=$BM$3),$G$90=$CA$60),CD60,IF(AND($C$90=$AH$3,OR($L$90=$BK$3,$L$90=$BL$3,$L$90=$BM$3),$G$90=$CA$61),CD61,IF(AND($C$90=$AH$3,OR($L$90=$BK$3,$L$90=$BL$3,$L$90=$BM$3),$G$90=$CA$62),CD62,0))))))))))))))))))))))</f>
        <v>0</v>
      </c>
      <c r="BL49" s="407">
        <f>IF(AND($C$90=$AH$3,OR($L$90=$BL$3,$L$90=$BM$3),$G$90=$CA$41),CE41,IF(AND($C$90=$AH$3,OR($L$90=$BL$3,$L$90=$BM$3),$G$90=$CA$42),CE42,IF(AND($C$90=$AH$3,OR($L$90=$BL$3,$L$90=$BM$3),$G$90=$CA$43),CE43,IF(AND($C$90=$AH$3,OR($L$90=$BL$3,$L$90=$BM$3),$G$90=$CA$44),CE44,IF(AND($C$90=$AH$3,OR($L$90=$BL$3,$L$90=$BM$3),$G$90=$CA$45),CE45,IF(AND($C$90=$AH$3,OR($L$90=$BL$3,$L$90=$BM$3),$G$90=$CA$46),CE46,IF(AND($C$90=$AH$3,OR($L$90=$BL$3,$L$90=$BM$3),$G$90=$CA$47),CE47,IF(AND($C$90=$AH$3,OR($L$90=$BL$3,$L$90=$BM$3),$G$90=$CA$48),CE48,IF(AND($C$90=$AH$3,OR($L$90=$BL$3,$L$90=$BM$3),$G$90=$CA$49),CE49,IF(AND($C$90=$AH$3,OR($L$90=$BL$3,$L$90=$BM$3),$G$90=$CA$50),CE50,IF(AND($C$90=$AH$3,OR($L$90=$BL$3,$L$90=$BM$3),$G$90=$CA$51),CE51,IF(AND($C$90=$AH$3,OR($L$90=$BL$3,$L$90=$BM$3),$G$90=$CA$52),CE52,IF(AND($C$90=$AH$3,OR($L$90=$BL$3,$L$90=$BM$3),$G$90=$CA$53),CE53,IF(AND($C$90=$AH$3,OR($L$90=$BL$3,$L$90=$BM$3),$G$90=$CA$54),CE54,IF(AND($C$90=$AH$3,OR($L$90=$BL$3,$L$90=$BM$3),$G$90=$CA$55),CE55,IF(AND($C$90=$AH$3,OR($L$90=$BL$3,$L$90=$BM$3),$G$90=$CA$56),CE56,IF(AND($C$90=$AH$3,OR($L$90=$BL$3,$L$90=$BM$3),$G$90=$CA$57),CE57,IF(AND($C$90=$AH$3,OR($L$90=$BL$3,$L$90=$BM$3),$G$90=$CA$58),CE58,IF(AND($C$90=$AH$3,OR($L$90=$BL$3,$L$90=$BM$3),$G$90=$CA$59),CE59,IF(AND($C$90=$AH$3,OR($L$90=$BL$3,$L$90=$BM$3),$G$90=$CA$60),CE60,IF(AND($C$90=$AH$3,OR($L$90=$BL$3,$L$90=$BM$3),$G$90=$CA$61),CE61,IF(AND($C$90=$AH$3,OR($L$90=$BL$3,$L$90=$BM$3),$G$90=$CA$62),CE62,0))))))))))))))))))))))</f>
        <v>0</v>
      </c>
      <c r="BM49" s="407">
        <f>IF(AND($C$90=$AH$3,OR($L$90=$BM$3),$G$90=$CA$41),CF41,IF(AND($C$90=$AH$3,OR($L$90=$BM$3),$G$90=$CA$42),CF42,IF(AND($C$90=$AH$3,OR($L$90=$BM$3),$G$90=$CA$43),CF43,IF(AND($C$90=$AH$3,OR($L$90=$BM$3),$G$90=$CA$44),CF44,IF(AND($C$90=$AH$3,OR($L$90=$BM$3),$G$90=$CA$45),CF45,IF(AND($C$90=$AH$3,OR($L$90=$BM$3),$G$90=$CA$46),CF46,IF(AND($C$90=$AH$3,OR($L$90=$BM$3),$G$90=$CA$47),CF47,IF(AND($C$90=$AH$3,OR($L$90=$BM$3),$G$90=$CA$48),CF48,IF(AND($C$90=$AH$3,OR($L$90=$BM$3),$G$90=$CA$49),CF49,IF(AND($C$90=$AH$3,OR($L$90=$BM$3),$G$90=$CA$50),CF50,IF(AND($C$90=$AH$3,OR($L$90=$BM$3),$G$90=$CA$51),CF51,IF(AND($C$90=$AH$3,OR($L$90=$BM$3),$G$90=$CA$52),CF52,IF(AND($C$90=$AH$3,OR($L$90=$BM$3),$G$90=$CA$53),CF53,IF(AND($C$90=$AH$3,OR($L$90=$BM$3),$G$90=$CA$54),CF54,IF(AND($C$90=$AH$3,OR($L$90=$BM$3),$G$90=$CA$55),CF55,IF(AND($C$90=$AH$3,OR($L$90=$BM$3),$G$90=$CA$56),CF56,IF(AND($C$90=$AH$3,OR($L$90=$BM$3),$G$90=$CA$57),CF57,IF(AND($C$90=$AH$3,OR($L$90=$BM$3),$G$90=$CA$58),CF58,IF(AND($C$90=$AH$3,OR($L$90=$BM$3),$G$90=$CA$59),CF59,IF(AND($C$90=$AH$3,OR($L$90=$BM$3),$G$90=$CA$60),CF60,IF(AND($C$90=$AH$3,OR($L$90=$BM$3),$G$90=$CA$61),CF61,IF(AND($C$90=$AH$3,OR($L$90=$BM$3),$G$90=$CA$62),CF62,0))))))))))))))))))))))</f>
        <v>0</v>
      </c>
      <c r="BN49" s="233"/>
      <c r="BO49" s="233"/>
      <c r="BP49" s="233"/>
      <c r="BQ49" s="233"/>
      <c r="BR49" s="233"/>
      <c r="BS49" s="233"/>
      <c r="BT49" s="233"/>
      <c r="BU49" s="233"/>
      <c r="BV49" s="233"/>
      <c r="BW49" s="233"/>
      <c r="BX49" s="233"/>
      <c r="BY49" s="233"/>
      <c r="BZ49" s="236"/>
      <c r="CA49" s="394" t="s">
        <v>862</v>
      </c>
      <c r="CB49" s="394" t="s">
        <v>847</v>
      </c>
      <c r="CC49" s="395" t="s">
        <v>1573</v>
      </c>
      <c r="CD49" s="394" t="s">
        <v>1574</v>
      </c>
      <c r="CE49" s="395" t="s">
        <v>1573</v>
      </c>
      <c r="CF49" s="394" t="s">
        <v>1575</v>
      </c>
      <c r="CG49" s="233"/>
      <c r="CH49" s="233"/>
      <c r="CI49" s="233"/>
      <c r="CJ49" s="233"/>
      <c r="CK49" s="233"/>
      <c r="CL49" s="233"/>
      <c r="CM49" s="233"/>
      <c r="CN49" s="361" t="str">
        <f t="shared" si="51"/>
        <v xml:space="preserve"> </v>
      </c>
      <c r="CO49" s="361" t="str">
        <f t="shared" si="52"/>
        <v xml:space="preserve"> </v>
      </c>
      <c r="CP49" s="361" t="str">
        <f t="shared" si="53"/>
        <v xml:space="preserve"> </v>
      </c>
      <c r="CQ49" s="361" t="str">
        <f t="shared" si="54"/>
        <v xml:space="preserve"> </v>
      </c>
      <c r="CR49" s="361" t="str">
        <f t="shared" si="55"/>
        <v xml:space="preserve"> </v>
      </c>
      <c r="CS49" s="233" t="s">
        <v>1434</v>
      </c>
      <c r="CT49" s="233"/>
      <c r="CU49" s="233"/>
      <c r="CV49" s="233" t="s">
        <v>1434</v>
      </c>
      <c r="CW49" s="233"/>
      <c r="CX49" s="233"/>
      <c r="CY49" s="233" t="s">
        <v>1016</v>
      </c>
      <c r="CZ49" s="233"/>
      <c r="DA49" s="233" t="s">
        <v>1434</v>
      </c>
      <c r="DB49" s="233"/>
      <c r="DC49" s="233" t="s">
        <v>927</v>
      </c>
      <c r="DD49" s="233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421" t="s">
        <v>1655</v>
      </c>
      <c r="DT49" s="422">
        <v>14325</v>
      </c>
      <c r="DU49" s="420">
        <v>3</v>
      </c>
      <c r="DV49" s="420">
        <v>70</v>
      </c>
      <c r="DW49" s="420">
        <v>2</v>
      </c>
      <c r="DX49" s="420"/>
      <c r="DY49" s="420">
        <v>58</v>
      </c>
      <c r="DZ49" s="420"/>
      <c r="EA49" s="29">
        <v>38</v>
      </c>
      <c r="EB49" s="413" t="str">
        <f t="shared" si="61"/>
        <v>Shade</v>
      </c>
      <c r="EC49" s="432">
        <f t="shared" si="62"/>
        <v>2</v>
      </c>
      <c r="ED49" s="432">
        <f t="shared" si="63"/>
        <v>80</v>
      </c>
      <c r="EE49" s="432">
        <f t="shared" si="64"/>
        <v>3</v>
      </c>
      <c r="EF49" s="432">
        <f t="shared" si="65"/>
        <v>0</v>
      </c>
      <c r="EG49" s="432">
        <f t="shared" si="66"/>
        <v>54</v>
      </c>
      <c r="EH49" s="97">
        <f t="shared" si="68"/>
        <v>0</v>
      </c>
      <c r="EI49" s="97">
        <f t="shared" si="69"/>
        <v>0</v>
      </c>
      <c r="EJ49" s="97">
        <f t="shared" si="70"/>
        <v>0</v>
      </c>
      <c r="EK49" s="97">
        <f t="shared" si="71"/>
        <v>0</v>
      </c>
      <c r="EL49" s="97">
        <f t="shared" si="72"/>
        <v>0</v>
      </c>
      <c r="EM49" s="29"/>
      <c r="EN49" s="29"/>
      <c r="EO49" s="29"/>
      <c r="EP49" s="29"/>
      <c r="EQ49" s="29"/>
      <c r="ER49" s="29"/>
      <c r="ES49" s="29"/>
      <c r="ET49" s="29"/>
      <c r="EU49" s="29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</row>
    <row r="50" spans="1:168" ht="15.95" customHeight="1" x14ac:dyDescent="0.25">
      <c r="A50" s="30"/>
      <c r="B50" s="30"/>
      <c r="C50" s="528" t="s">
        <v>433</v>
      </c>
      <c r="D50" s="528"/>
      <c r="E50" s="528"/>
      <c r="F50" s="30"/>
      <c r="G50" s="30"/>
      <c r="H50" s="30"/>
      <c r="I50" s="30"/>
      <c r="J50" s="30"/>
      <c r="K50" s="30"/>
      <c r="L50" s="30"/>
      <c r="M50" s="30"/>
      <c r="N50" s="30"/>
      <c r="O50" s="29"/>
      <c r="P50" s="525"/>
      <c r="Q50" s="525"/>
      <c r="R50" s="525"/>
      <c r="S50" s="525"/>
      <c r="T50" s="525"/>
      <c r="U50" s="525"/>
      <c r="V50" s="525"/>
      <c r="W50" s="30"/>
      <c r="X50" s="220" t="s">
        <v>771</v>
      </c>
      <c r="Y50" s="469">
        <f>AP11</f>
        <v>0</v>
      </c>
      <c r="Z50" s="470"/>
      <c r="AA50" s="30"/>
      <c r="AB50" s="471"/>
      <c r="AC50" s="471"/>
      <c r="AD50" s="471"/>
      <c r="AE50" s="471"/>
      <c r="AF50" s="471"/>
      <c r="AG50" s="52"/>
      <c r="AH50" s="52"/>
      <c r="AI50" s="52" t="s">
        <v>1461</v>
      </c>
      <c r="AJ50" s="52"/>
      <c r="AK50" s="52"/>
      <c r="AL50" s="29">
        <v>19</v>
      </c>
      <c r="AM50" s="376" t="str">
        <f t="shared" si="67"/>
        <v xml:space="preserve"> </v>
      </c>
      <c r="AN50" s="52"/>
      <c r="AO50" s="52"/>
      <c r="AP50" s="52"/>
      <c r="AQ50" s="52"/>
      <c r="AR50" s="52"/>
      <c r="AS50" s="29">
        <v>14</v>
      </c>
      <c r="AT50" s="233" t="s">
        <v>1434</v>
      </c>
      <c r="AU50" s="233"/>
      <c r="AV50" s="233"/>
      <c r="AW50" s="233"/>
      <c r="AX50" s="233"/>
      <c r="AY50" s="233"/>
      <c r="AZ50" s="233"/>
      <c r="BA50" s="233"/>
      <c r="BB50" s="233"/>
      <c r="BC50" s="233"/>
      <c r="BD50" s="233"/>
      <c r="BE50" s="233"/>
      <c r="BF50" s="233"/>
      <c r="BG50" s="29"/>
      <c r="BH50" s="29"/>
      <c r="BI50" s="409" t="s">
        <v>1535</v>
      </c>
      <c r="BJ50" s="407">
        <f>IF(AND($C$90=$AH$4,OR($L$90=$BJ$3,$L$90=$BK$3,$L$90=$BL$3,$L$90=$BM$3),$G$90=$CA$67),CC67,IF(AND($C$90=$AH$4,OR($L$90=$BJ$3,$L$90=$BK$3,$L$90=$BL$3,$L$90=$BM$3),$G$90=$CA$68),CC68,IF(AND($C$90=$AH$4,OR($L$90=$BJ$3,$L$90=$BK$3,$L$90=$BL$3,$L$90=$BM$3),$G$90=$CA$69),CC69,IF(AND($C$90=$AH$4,OR($L$90=$BJ$3,$L$90=$BK$3,$L$90=$BL$3,$L$90=$BM$3),$G$90=$CA$70),CC70,IF(AND($C$90=$AH$4,OR($L$90=$BJ$3,$L$90=$BK$3,$L$90=$BL$3,$L$90=$BM$3),$G$90=$CA$71),CC71,IF(AND($C$90=$AH$4,OR($L$90=$BJ$3,$L$90=$BK$3,$L$90=$BL$3,$L$90=$BM$3),$G$90=$CA$72),CC72,IF(AND($C$90=$AH$4,OR($L$90=$BJ$3,$L$90=$BK$3,$L$90=$BL$3,$L$90=$BM$3),$G$90=$CA$73),CC73,IF(AND($C$90=$AH$4,OR($L$90=$BJ$3,$L$90=$BK$3,$L$90=$BL$3,$L$90=$BM$3),$G$90=$CA$74),CC74,IF(AND($C$90=$AH$4,OR($L$90=$BJ$3,$L$90=$BK$3,$L$90=$BL$3,$L$90=$BM$3),$G$90=$CA$75),CC75,IF(AND($C$90=$AH$4,OR($L$90=$BJ$3,$L$90=$BK$3,$L$90=$BL$3,$L$90=$BM$3),$G$90=$CA$76),CC76,IF(AND($C$90=$AH$4,OR($L$90=$BJ$3,$L$90=$BK$3,$L$90=$BL$3,$L$90=$BM$3),$G$90=$CA$77),CC77,IF(AND($C$90=$AH$4,OR($L$90=$BJ$3,$L$90=$BK$3,$L$90=$BL$3,$L$90=$BM$3),$G$90=$CA$78),CC78,IF(AND($C$90=$AH$4,OR($L$90=$BJ$3,$L$90=$BK$3,$L$90=$BL$3,$L$90=$BM$3),$G$90=$CA$79),CC79,IF(AND($C$90=$AH$4,OR($L$90=$BJ$3,$L$90=$BK$3,$L$90=$BL$3,$L$90=$BM$3),$G$90=$CA$80),CC80,IF(AND($C$90=$AH$4,OR($L$90=$BJ$3,$L$90=$BK$3,$L$90=$BL$3,$L$90=$BM$3),$G$90=$CA$81),CC81,IF(AND($C$90=$AH$4,OR($L$90=$BJ$3,$L$90=$BK$3,$L$90=$BL$3,$L$90=$BM$3),$G$90=$CA$82),CC82,IF(AND($C$90=$AH$4,OR($L$90=$BJ$3,$L$90=$BK$3,$L$90=$BL$3,$L$90=$BM$3),$G$90=$CA$83),CC83,0)))))))))))))))))</f>
        <v>0</v>
      </c>
      <c r="BK50" s="407">
        <f>IF(AND($C$90=$AH$4,OR($L$90=$BK$3,$L$90=$BL$3,$L$90=$BM$3),$G$90=$CA$67),CD67,IF(AND($C$90=$AH$4,OR($L$90=$BK$3,$L$90=$BL$3,$L$90=$BM$3),$G$90=$CA$68),CD68,IF(AND($C$90=$AH$4,OR($L$90=$BK$3,$L$90=$BL$3,$L$90=$BM$3),$G$90=$CA$69),CD69,IF(AND($C$90=$AH$4,OR($L$90=$BK$3,$L$90=$BL$3,$L$90=$BM$3),$G$90=$CA$70),CD70,IF(AND($C$90=$AH$4,OR($L$90=$BK$3,$L$90=$BL$3,$L$90=$BM$3),$G$90=$CA$71),CD71,IF(AND($C$90=$AH$4,OR($L$90=$BK$3,$L$90=$BL$3,$L$90=$BM$3),$G$90=$CA$72),CD72,IF(AND($C$90=$AH$4,OR($L$90=$BK$3,$L$90=$BL$3,$L$90=$BM$3),$G$90=$CA$73),CD73,IF(AND($C$90=$AH$4,OR($L$90=$BK$3,$L$90=$BL$3,$L$90=$BM$3),$G$90=$CA$74),CD74,IF(AND($C$90=$AH$4,OR($L$90=$BK$3,$L$90=$BL$3,$L$90=$BM$3),$G$90=$CA$75),CD75,IF(AND($C$90=$AH$4,OR($L$90=$BK$3,$L$90=$BL$3,$L$90=$BM$3),$G$90=$CA$76),CD76,IF(AND($C$90=$AH$4,OR($L$90=$BK$3,$L$90=$BL$3,$L$90=$BM$3),$G$90=$CA$77),CD77,IF(AND($C$90=$AH$4,OR($L$90=$BK$3,$L$90=$BL$3,$L$90=$BM$3),$G$90=$CA$78),CD78,IF(AND($C$90=$AH$4,OR($L$90=$BK$3,$L$90=$BL$3,$L$90=$BM$3),$G$90=$CA$79),CD79,IF(AND($C$90=$AH$4,OR($L$90=$BK$3,$L$90=$BL$3,$L$90=$BM$3),$G$90=$CA$80),CD80,IF(AND($C$90=$AH$4,OR($L$90=$BK$3,$L$90=$BL$3,$L$90=$BM$3),$G$90=$CA$81),CD81,IF(AND($C$90=$AH$4,OR($L$90=$BK$3,$L$90=$BL$3,$L$90=$BM$3),$G$90=$CA$82),CD82,IF(AND($C$90=$AH$4,OR($L$90=$BK$3,$L$90=$BL$3,$L$90=$BM$3),$G$90=$CA$83),CD83,0)))))))))))))))))</f>
        <v>0</v>
      </c>
      <c r="BL50" s="407">
        <f>IF(AND($C$90=$AH$4,OR($L$90=$BL$3,$L$90=$BM$3),$G$90=$CA$67),CE67,IF(AND($C$90=$AH$4,OR($L$90=$BL$3,$L$90=$BM$3),$G$90=$CA$68),CE68,IF(AND($C$90=$AH$4,OR($L$90=$BL$3,$L$90=$BM$3),$G$90=$CA$69),CE69,IF(AND($C$90=$AH$4,OR($L$90=$BL$3,$L$90=$BM$3),$G$90=$CA$70),CE70,IF(AND($C$90=$AH$4,OR($L$90=$BL$3,$L$90=$BM$3),$G$90=$CA$71),CE71,IF(AND($C$90=$AH$4,OR($L$90=$BL$3,$L$90=$BM$3),$G$90=$CA$72),CE72,IF(AND($C$90=$AH$4,OR($L$90=$BL$3,$L$90=$BM$3),$G$90=$CA$73),CE73,IF(AND($C$90=$AH$4,OR($L$90=$BL$3,$L$90=$BM$3),$G$90=$CA$74),CE74,IF(AND($C$90=$AH$4,OR($L$90=$BL$3,$L$90=$BM$3),$G$90=$CA$75),CE75,IF(AND($C$90=$AH$4,OR($L$90=$BL$3,$L$90=$BM$3),$G$90=$CA$76),CE76,IF(AND($C$90=$AH$4,OR($L$90=$BL$3,$L$90=$BM$3),$G$90=$CA$77),CE77,IF(AND($C$90=$AH$4,OR($L$90=$BL$3,$L$90=$BM$3),$G$90=$CA$78),CE78,IF(AND($C$90=$AH$4,OR($L$90=$BL$3,$L$90=$BM$3),$G$90=$CA$79),CE79,IF(AND($C$90=$AH$4,OR($L$90=$BL$3,$L$90=$BM$3),$G$90=$CA$80),CE80,IF(AND($C$90=$AH$4,OR($L$90=$BL$3,$L$90=$BM$3),$G$90=$CA$81),CE81,IF(AND($C$90=$AH$4,OR($L$90=$BL$3,$L$90=$BM$3),$G$90=$CA$82),CE82,IF(AND($C$90=$AH$4,OR($L$90=$BL$3,$L$90=$BM$3),$G$90=$CA$83),CE83,0)))))))))))))))))</f>
        <v>0</v>
      </c>
      <c r="BM50" s="407">
        <f>IF(AND($C$90=$AH$4,OR($L$90=$BM$3),$G$90=$CA$67),CF67,IF(AND($C$90=$AH$4,OR($L$90=$BM$3),$G$90=$CA$68),CF68,IF(AND($C$90=$AH$4,OR($L$90=$BM$3),$G$90=$CA$69),CF69,IF(AND($C$90=$AH$4,OR($L$90=$BM$3),$G$90=$CA$70),CF70,IF(AND($C$90=$AH$4,OR($L$90=$BM$3),$G$90=$CA$71),CF71,IF(AND($C$90=$AH$4,OR($L$90=$BM$3),$G$90=$CA$72),CF72,IF(AND($C$90=$AH$4,OR($L$90=$BM$3),$G$90=$CA$73),CF73,IF(AND($C$90=$AH$4,OR($L$90=$BM$3),$G$90=$CA$74),CF74,IF(AND($C$90=$AH$4,OR($L$90=$BM$3),$G$90=$CA$75),CF75,IF(AND($C$90=$AH$4,OR($L$90=$BM$3),$G$90=$CA$76),CF76,IF(AND($C$90=$AH$4,OR($L$90=$BM$3),$G$90=$CA$77),CF77,IF(AND($C$90=$AH$4,OR($L$90=$BM$3),$G$90=$CA$78),CF78,IF(AND($C$90=$AH$4,OR($L$90=$BM$3),$G$90=$CA$79),CF79,IF(AND($C$90=$AH$4,OR($L$90=$BM$3),$G$90=$CA$80),CF80,IF(AND($C$90=$AH$4,OR($L$90=$BM$3),$G$90=$CA$81),CF81,IF(AND($C$90=$AH$4,OR($L$90=$BM$3),$G$90=$CA$82),CF82,IF(AND($C$90=$AH$4,OR($L$90=$BM$3),$G$90=$CA$83),CF83,0)))))))))))))))))</f>
        <v>0</v>
      </c>
      <c r="BN50" s="233"/>
      <c r="BO50" s="233"/>
      <c r="BP50" s="233"/>
      <c r="BQ50" s="233"/>
      <c r="BR50" s="233"/>
      <c r="BS50" s="233"/>
      <c r="BT50" s="233"/>
      <c r="BU50" s="233"/>
      <c r="BV50" s="233"/>
      <c r="BW50" s="233"/>
      <c r="BX50" s="233"/>
      <c r="BY50" s="233"/>
      <c r="BZ50" s="236"/>
      <c r="CA50" s="394" t="s">
        <v>813</v>
      </c>
      <c r="CB50" s="394" t="s">
        <v>847</v>
      </c>
      <c r="CC50" s="395" t="s">
        <v>1573</v>
      </c>
      <c r="CD50" s="394" t="s">
        <v>1574</v>
      </c>
      <c r="CE50" s="395" t="s">
        <v>1573</v>
      </c>
      <c r="CF50" s="394" t="s">
        <v>1575</v>
      </c>
      <c r="CG50" s="233"/>
      <c r="CH50" s="233"/>
      <c r="CI50" s="233"/>
      <c r="CJ50" s="233"/>
      <c r="CK50" s="233"/>
      <c r="CL50" s="233"/>
      <c r="CM50" s="233"/>
      <c r="CN50" s="361" t="str">
        <f t="shared" si="51"/>
        <v xml:space="preserve"> </v>
      </c>
      <c r="CO50" s="361" t="str">
        <f t="shared" si="52"/>
        <v xml:space="preserve"> </v>
      </c>
      <c r="CP50" s="361" t="str">
        <f t="shared" si="53"/>
        <v xml:space="preserve"> </v>
      </c>
      <c r="CQ50" s="361" t="str">
        <f t="shared" si="54"/>
        <v xml:space="preserve"> </v>
      </c>
      <c r="CR50" s="361" t="str">
        <f t="shared" si="55"/>
        <v xml:space="preserve"> </v>
      </c>
      <c r="CS50" s="233" t="s">
        <v>1434</v>
      </c>
      <c r="CT50" s="233"/>
      <c r="CU50" s="233"/>
      <c r="CV50" s="233" t="s">
        <v>1434</v>
      </c>
      <c r="CW50" s="233"/>
      <c r="CX50" s="233"/>
      <c r="CY50" s="233" t="s">
        <v>1017</v>
      </c>
      <c r="CZ50" s="233"/>
      <c r="DA50" s="233" t="s">
        <v>1434</v>
      </c>
      <c r="DB50" s="233"/>
      <c r="DC50" s="233" t="s">
        <v>1587</v>
      </c>
      <c r="DD50" s="233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419" t="s">
        <v>636</v>
      </c>
      <c r="DT50" s="422">
        <v>14725</v>
      </c>
      <c r="DU50" s="420">
        <v>1</v>
      </c>
      <c r="DV50" s="420">
        <v>60</v>
      </c>
      <c r="DW50" s="420">
        <v>2</v>
      </c>
      <c r="DX50" s="420"/>
      <c r="DY50" s="420">
        <v>54</v>
      </c>
      <c r="DZ50" s="420" t="s">
        <v>1431</v>
      </c>
      <c r="EA50" s="29">
        <v>39</v>
      </c>
      <c r="EB50" s="413" t="str">
        <f t="shared" si="61"/>
        <v>Pathfinder Medium</v>
      </c>
      <c r="EC50" s="432">
        <f t="shared" si="62"/>
        <v>3</v>
      </c>
      <c r="ED50" s="432">
        <f t="shared" si="63"/>
        <v>65</v>
      </c>
      <c r="EE50" s="432">
        <f t="shared" si="64"/>
        <v>2</v>
      </c>
      <c r="EF50" s="432" t="str">
        <f t="shared" si="65"/>
        <v>A; L</v>
      </c>
      <c r="EG50" s="432">
        <f t="shared" si="66"/>
        <v>55</v>
      </c>
      <c r="EH50" s="97">
        <f t="shared" si="68"/>
        <v>0</v>
      </c>
      <c r="EI50" s="97">
        <f t="shared" si="69"/>
        <v>0</v>
      </c>
      <c r="EJ50" s="97">
        <f t="shared" si="70"/>
        <v>0</v>
      </c>
      <c r="EK50" s="97">
        <f t="shared" si="71"/>
        <v>0</v>
      </c>
      <c r="EL50" s="97">
        <f t="shared" si="72"/>
        <v>0</v>
      </c>
      <c r="EM50" s="29"/>
      <c r="EN50" s="29"/>
      <c r="EO50" s="29"/>
      <c r="EP50" s="29"/>
      <c r="EQ50" s="29"/>
      <c r="ER50" s="29"/>
      <c r="ES50" s="29"/>
      <c r="ET50" s="29"/>
      <c r="EU50" s="29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</row>
    <row r="51" spans="1:168" ht="15.95" customHeight="1" x14ac:dyDescent="0.25">
      <c r="A51" s="501" t="s">
        <v>201</v>
      </c>
      <c r="B51" s="501"/>
      <c r="C51" s="501"/>
      <c r="D51" s="468">
        <f>AP12</f>
        <v>0</v>
      </c>
      <c r="E51" s="468"/>
      <c r="F51" s="468"/>
      <c r="G51" s="228" t="s">
        <v>7</v>
      </c>
      <c r="H51" s="525"/>
      <c r="I51" s="525"/>
      <c r="J51" s="525"/>
      <c r="K51" s="228" t="s">
        <v>7</v>
      </c>
      <c r="L51" s="543"/>
      <c r="M51" s="543"/>
      <c r="N51" s="543"/>
      <c r="O51" s="29"/>
      <c r="P51" s="526" t="s">
        <v>86</v>
      </c>
      <c r="Q51" s="526"/>
      <c r="R51" s="526"/>
      <c r="S51" s="526"/>
      <c r="T51" s="526"/>
      <c r="U51" s="526"/>
      <c r="V51" s="526"/>
      <c r="W51" s="29"/>
      <c r="X51" s="29"/>
      <c r="Y51" s="29"/>
      <c r="Z51" s="29"/>
      <c r="AA51" s="29"/>
      <c r="AB51" s="471"/>
      <c r="AC51" s="471"/>
      <c r="AD51" s="471"/>
      <c r="AE51" s="471"/>
      <c r="AF51" s="471"/>
      <c r="AG51" s="52"/>
      <c r="AH51" s="52"/>
      <c r="AI51" s="52" t="s">
        <v>1462</v>
      </c>
      <c r="AJ51" s="52"/>
      <c r="AK51" s="52"/>
      <c r="AL51" s="29">
        <v>20</v>
      </c>
      <c r="AM51" s="376" t="str">
        <f t="shared" si="67"/>
        <v xml:space="preserve"> </v>
      </c>
      <c r="AN51" s="52"/>
      <c r="AO51" s="52"/>
      <c r="AP51" s="52"/>
      <c r="AQ51" s="52"/>
      <c r="AR51" s="52"/>
      <c r="AS51" s="29">
        <v>15</v>
      </c>
      <c r="AT51" s="233" t="s">
        <v>1434</v>
      </c>
      <c r="AU51" s="233"/>
      <c r="AV51" s="233"/>
      <c r="AW51" s="233"/>
      <c r="AX51" s="233"/>
      <c r="AY51" s="233"/>
      <c r="AZ51" s="233"/>
      <c r="BA51" s="233"/>
      <c r="BB51" s="233"/>
      <c r="BC51" s="233"/>
      <c r="BD51" s="233"/>
      <c r="BE51" s="233"/>
      <c r="BF51" s="233"/>
      <c r="BG51" s="29"/>
      <c r="BH51" s="29"/>
      <c r="BI51" s="409" t="s">
        <v>1536</v>
      </c>
      <c r="BJ51" s="407">
        <f>IF(AND($C$90=$AH$5,OR($L$90=$BJ$3,$L$90=$BK$3,$L$90=$BL$3,$L$90=$BM$3),$G$90=$CA$88),CC88,IF(AND($C$90=$AH$5,OR($L$90=$BJ$3,$L$90=$BK$3,$L$90=$BL$3,$L$90=$BM$3),$G$90=$CA$89),CC89,IF(AND($C$90=$AH$5,OR($L$90=$BJ$3,$L$90=$BK$3,$L$90=$BL$3,$L$90=$BM$3),$G$90=$CA$90),CC90,IF(AND($C$90=$AH$5,OR($L$90=$BJ$3,$L$90=$BK$3,$L$90=$BL$3,$L$90=$BM$3),$G$90=$CA$91),CC91,IF(AND($C$90=$AH$5,OR($L$90=$BJ$3,$L$90=$BK$3,$L$90=$BL$3,$L$90=$BM$3),$G$90=$CA$92),CC92,IF(AND($C$90=$AH$5,OR($L$90=$BJ$3,$L$90=$BK$3,$L$90=$BL$3,$L$90=$BM$3),$G$90=$CA$93),CC93,IF(AND($C$90=$AH$5,OR($L$90=$BJ$3,$L$90=$BK$3,$L$90=$BL$3,$L$90=$BM$3),$G$90=$CA$94),CC94,IF(AND($C$90=$AH$5,OR($L$90=$BJ$3,$L$90=$BK$3,$L$90=$BL$3,$L$90=$BM$3),$G$90=$CA$95),CC95,IF(AND($C$90=$AH$5,OR($L$90=$BJ$3,$L$90=$BK$3,$L$90=$BL$3,$L$90=$BM$3),$G$90=$CA$96),CC96,IF(AND($C$90=$AH$5,OR($L$90=$BJ$3,$L$90=$BK$3,$L$90=$BL$3,$L$90=$BM$3),$G$90=$CA$97),CC97,IF(AND($C$90=$AH$5,OR($L$90=$BJ$3,$L$90=$BK$3,$L$90=$BL$3,$L$90=$BM$3),$G$90=$CA$98),CC98,IF(AND($C$90=$AH$5,OR($L$90=$BJ$3,$L$90=$BK$3,$L$90=$BL$3,$L$90=$BM$3),$G$90=$CA$99),CC99,IF(AND($C$90=$AH$5,OR($L$90=$BJ$3,$L$90=$BK$3,$L$90=$BL$3,$L$90=$BM$3),$G$90=$CA$100),CC100,IF(AND($C$90=$AH$5,OR($L$90=$BJ$3,$L$90=$BK$3,$L$90=$BL$3,$L$90=$BM$3),$G$90=$CA$101),CC101,IF(AND($C$90=$AH$5,OR($L$90=$BJ$3,$L$90=$BK$3,$L$90=$BL$3,$L$90=$BM$3),$G$90=$CA$102),CC102,IF(AND($C$90=$AH$5,OR($L$90=$BJ$3,$L$90=$BK$3,$L$90=$BL$3,$L$90=$BM$3),$G$90=$CA$103),CC103,IF(AND($C$90=$AH$5,OR($L$90=$BJ$3,$L$90=$BK$3,$L$90=$BL$3,$L$90=$BM$3),$G$90=$CA$104),CC104,IF(AND($C$90=$AH$5,OR($L$90=$BJ$3,$L$90=$BK$3,$L$90=$BL$3,$L$90=$BM$3),$G$90=$CA$105),CC105,0))))))))))))))))))</f>
        <v>0</v>
      </c>
      <c r="BK51" s="407">
        <f>IF(AND($C$90=$AH$5,OR($L$90=$BK$3,$L$90=$BL$3,$L$90=$BM$3),$G$90=$CA$88),CD88,IF(AND($C$90=$AH$5,OR($L$90=$BK$3,$L$90=$BL$3,$L$90=$BM$3),$G$90=$CA$89),CD89,IF(AND($C$90=$AH$5,OR($L$90=$BK$3,$L$90=$BL$3,$L$90=$BM$3),$G$90=$CA$90),CD90,IF(AND($C$90=$AH$5,OR($L$90=$BK$3,$L$90=$BL$3,$L$90=$BM$3),$G$90=$CA$91),CD91,IF(AND($C$90=$AH$5,OR($L$90=$BK$3,$L$90=$BL$3,$L$90=$BM$3),$G$90=$CA$92),CD92,IF(AND($C$90=$AH$5,OR($L$90=$BK$3,$L$90=$BL$3,$L$90=$BM$3),$G$90=$CA$93),CD93,IF(AND($C$90=$AH$5,OR($L$90=$BK$3,$L$90=$BL$3,$L$90=$BM$3),$G$90=$CA$94),CD94,IF(AND($C$90=$AH$5,OR($L$90=$BK$3,$L$90=$BL$3,$L$90=$BM$3),$G$90=$CA$95),CD95,IF(AND($C$90=$AH$5,OR($L$90=$BK$3,$L$90=$BL$3,$L$90=$BM$3),$G$90=$CA$96),CD96,IF(AND($C$90=$AH$5,OR($L$90=$BK$3,$L$90=$BL$3,$L$90=$BM$3),$G$90=$CA$97),CD97,IF(AND($C$90=$AH$5,OR($L$90=$BK$3,$L$90=$BL$3,$L$90=$BM$3),$G$90=$CA$98),CD98,IF(AND($C$90=$AH$5,OR($L$90=$BK$3,$L$90=$BL$3,$L$90=$BM$3),$G$90=$CA$99),CD99,IF(AND($C$90=$AH$5,OR($L$90=$BK$3,$L$90=$BL$3,$L$90=$BM$3),$G$90=$CA$100),CD100,IF(AND($C$90=$AH$5,OR($L$90=$BK$3,$L$90=$BL$3,$L$90=$BM$3),$G$90=$CA$101),CD101,IF(AND($C$90=$AH$5,OR($L$90=$BK$3,$L$90=$BL$3,$L$90=$BM$3),$G$90=$CA$102),CD102,IF(AND($C$90=$AH$5,OR($L$90=$BK$3,$L$90=$BL$3,$L$90=$BM$3),$G$90=$CA$103),CD103,IF(AND($C$90=$AH$5,OR($L$90=$BK$3,$L$90=$BL$3,$L$90=$BM$3),$G$90=$CA$104),CD104,IF(AND($C$90=$AH$5,OR($L$90=$BK$3,$L$90=$BL$3,$L$90=$BM$3),$G$90=$CA$105),CD105,0))))))))))))))))))</f>
        <v>0</v>
      </c>
      <c r="BL51" s="407">
        <f>IF(AND($C$90=$AH$5,OR($L$90=$BL$3,$L$90=$BM$3),$G$90=$CA$88),CE88,IF(AND($C$90=$AH$5,OR($L$90=$BL$3,$L$90=$BM$3),$G$90=$CA$89),CE89,IF(AND($C$90=$AH$5,OR($L$90=$BL$3,$L$90=$BM$3),$G$90=$CA$90),CE90,IF(AND($C$90=$AH$5,OR($L$90=$BL$3,$L$90=$BM$3),$G$90=$CA$91),CE91,IF(AND($C$90=$AH$5,OR($L$90=$BL$3,$L$90=$BM$3),$G$90=$CA$92),CE92,IF(AND($C$90=$AH$5,OR($L$90=$BL$3,$L$90=$BM$3),$G$90=$CA$93),CE93,IF(AND($C$90=$AH$5,OR($L$90=$BL$3,$L$90=$BM$3),$G$90=$CA$94),CE94,IF(AND($C$90=$AH$5,OR($L$90=$BL$3,$L$90=$BM$3),$G$90=$CA$95),CE95,IF(AND($C$90=$AH$5,OR($L$90=$BL$3,$L$90=$BM$3),$G$90=$CA$96),CE96,IF(AND($C$90=$AH$5,OR($L$90=$BL$3,$L$90=$BM$3),$G$90=$CA$97),CE97,IF(AND($C$90=$AH$5,OR($L$90=$BL$3,$L$90=$BM$3),$G$90=$CA$98),CE98,IF(AND($C$90=$AH$5,OR($L$90=$BL$3,$L$90=$BM$3),$G$90=$CA$99),CE99,IF(AND($C$90=$AH$5,OR($L$90=$BL$3,$L$90=$BM$3),$G$90=$CA$100),CE100,IF(AND($C$90=$AH$5,OR($L$90=$BL$3,$L$90=$BM$3),$G$90=$CA$101),CE101,IF(AND($C$90=$AH$5,OR($L$90=$BL$3,$L$90=$BM$3),$G$90=$CA$102),CE102,IF(AND($C$90=$AH$5,OR($L$90=$BL$3,$L$90=$BM$3),$G$90=$CA$103),CE103,IF(AND($C$90=$AH$5,OR($L$90=$BL$3,$L$90=$BM$3),$G$90=$CA$104),CE104,IF(AND($C$90=$AH$5,OR($L$90=$BL$3,$L$90=$BM$3),$G$90=$CA$105),CE105,0))))))))))))))))))</f>
        <v>0</v>
      </c>
      <c r="BM51" s="407">
        <f>IF(AND($C$90=$AH$5,OR($L$90=$BM$3),$G$90=$CA$88),CF88,IF(AND($C$90=$AH$5,OR($L$90=$BM$3),$G$90=$CA$89),CF89,IF(AND($C$90=$AH$5,OR($L$90=$BM$3),$G$90=$CA$90),CF90,IF(AND($C$90=$AH$5,OR($L$90=$BM$3),$G$90=$CA$91),CF91,IF(AND($C$90=$AH$5,OR($L$90=$BM$3),$G$90=$CA$92),CF92,IF(AND($C$90=$AH$5,OR($L$90=$BM$3),$G$90=$CA$93),CF93,IF(AND($C$90=$AH$5,OR($L$90=$BM$3),$G$90=$CA$94),CF94,IF(AND($C$90=$AH$5,OR($L$90=$BM$3),$G$90=$CA$95),CF95,IF(AND($C$90=$AH$5,OR($L$90=$BM$3),$G$90=$CA$96),CF96,IF(AND($C$90=$AH$5,OR($L$90=$BM$3),$G$90=$CA$97),CF97,IF(AND($C$90=$AH$5,OR($L$90=$BM$3),$G$90=$CA$98),CF98,IF(AND($C$90=$AH$5,OR($L$90=$BM$3),$G$90=$CA$99),CF99,IF(AND($C$90=$AH$5,OR($L$90=$BM$3),$G$90=$CA$100),CF100,IF(AND($C$90=$AH$5,OR($L$90=$BM$3),$G$90=$CA$101),CF101,IF(AND($C$90=$AH$5,OR($L$90=$BM$3),$G$90=$CA$102),CF102,IF(AND($C$90=$AH$5,OR($L$90=$BM$3),$G$90=$CA$103),CF103,IF(AND($C$90=$AH$5,OR($L$90=$BM$3),$G$90=$CA$104),CF104,IF(AND($C$90=$AH$5,OR($L$90=$BM$3),$G$90=$CA$105),CF105,0))))))))))))))))))</f>
        <v>0</v>
      </c>
      <c r="BN51" s="233"/>
      <c r="BO51" s="233"/>
      <c r="BP51" s="233"/>
      <c r="BQ51" s="233"/>
      <c r="BR51" s="233"/>
      <c r="BS51" s="233"/>
      <c r="BT51" s="233"/>
      <c r="BU51" s="233"/>
      <c r="BV51" s="233"/>
      <c r="BW51" s="233"/>
      <c r="BX51" s="233"/>
      <c r="BY51" s="233"/>
      <c r="BZ51" s="236"/>
      <c r="CA51" s="394" t="s">
        <v>864</v>
      </c>
      <c r="CB51" s="394" t="s">
        <v>847</v>
      </c>
      <c r="CC51" s="395" t="s">
        <v>1573</v>
      </c>
      <c r="CD51" s="394" t="s">
        <v>1574</v>
      </c>
      <c r="CE51" s="395" t="s">
        <v>1573</v>
      </c>
      <c r="CF51" s="394" t="s">
        <v>1575</v>
      </c>
      <c r="CG51" s="233"/>
      <c r="CH51" s="233"/>
      <c r="CI51" s="233"/>
      <c r="CJ51" s="233"/>
      <c r="CK51" s="233"/>
      <c r="CL51" s="233"/>
      <c r="CM51" s="233"/>
      <c r="CN51" s="361" t="str">
        <f t="shared" si="51"/>
        <v xml:space="preserve"> </v>
      </c>
      <c r="CO51" s="361" t="str">
        <f t="shared" si="52"/>
        <v xml:space="preserve"> </v>
      </c>
      <c r="CP51" s="361" t="str">
        <f t="shared" si="53"/>
        <v xml:space="preserve"> </v>
      </c>
      <c r="CQ51" s="361" t="str">
        <f t="shared" si="54"/>
        <v xml:space="preserve"> </v>
      </c>
      <c r="CR51" s="361" t="str">
        <f t="shared" si="55"/>
        <v xml:space="preserve"> </v>
      </c>
      <c r="CS51" s="233" t="s">
        <v>1434</v>
      </c>
      <c r="CT51" s="233"/>
      <c r="CU51" s="233"/>
      <c r="CV51" s="233" t="s">
        <v>1434</v>
      </c>
      <c r="CW51" s="233"/>
      <c r="CX51" s="233"/>
      <c r="CY51" s="233" t="s">
        <v>1018</v>
      </c>
      <c r="CZ51" s="233"/>
      <c r="DA51" s="233" t="s">
        <v>1434</v>
      </c>
      <c r="DB51" s="233"/>
      <c r="DC51" s="233" t="s">
        <v>1434</v>
      </c>
      <c r="DD51" s="233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419" t="s">
        <v>1433</v>
      </c>
      <c r="DT51" s="422">
        <v>15865</v>
      </c>
      <c r="DU51" s="420">
        <v>2</v>
      </c>
      <c r="DV51" s="420">
        <v>80</v>
      </c>
      <c r="DW51" s="420">
        <v>3</v>
      </c>
      <c r="DX51" s="420"/>
      <c r="DY51" s="420">
        <v>54</v>
      </c>
      <c r="DZ51" s="420" t="s">
        <v>1674</v>
      </c>
      <c r="EA51" s="29">
        <v>40</v>
      </c>
      <c r="EB51" s="413" t="str">
        <f t="shared" si="61"/>
        <v>Ajax</v>
      </c>
      <c r="EC51" s="432">
        <f t="shared" si="62"/>
        <v>3</v>
      </c>
      <c r="ED51" s="432">
        <f t="shared" si="63"/>
        <v>100</v>
      </c>
      <c r="EE51" s="432">
        <f t="shared" si="64"/>
        <v>2</v>
      </c>
      <c r="EF51" s="432" t="str">
        <f t="shared" si="65"/>
        <v>V</v>
      </c>
      <c r="EG51" s="432">
        <f t="shared" si="66"/>
        <v>55</v>
      </c>
      <c r="EH51" s="97">
        <f t="shared" si="68"/>
        <v>0</v>
      </c>
      <c r="EI51" s="97">
        <f t="shared" si="69"/>
        <v>0</v>
      </c>
      <c r="EJ51" s="97">
        <f t="shared" si="70"/>
        <v>0</v>
      </c>
      <c r="EK51" s="97">
        <f t="shared" si="71"/>
        <v>0</v>
      </c>
      <c r="EL51" s="97">
        <f t="shared" si="72"/>
        <v>0</v>
      </c>
      <c r="EM51" s="29"/>
      <c r="EN51" s="29"/>
      <c r="EO51" s="29"/>
      <c r="EP51" s="29"/>
      <c r="EQ51" s="29"/>
      <c r="ER51" s="29"/>
      <c r="ES51" s="29"/>
      <c r="ET51" s="29"/>
      <c r="EU51" s="29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</row>
    <row r="52" spans="1:168" ht="15.95" customHeight="1" x14ac:dyDescent="0.25">
      <c r="A52" s="29"/>
      <c r="B52" s="29"/>
      <c r="C52" s="29"/>
      <c r="D52" s="524" t="s">
        <v>2</v>
      </c>
      <c r="E52" s="524"/>
      <c r="F52" s="524"/>
      <c r="G52" s="44"/>
      <c r="H52" s="529" t="s">
        <v>891</v>
      </c>
      <c r="I52" s="529"/>
      <c r="J52" s="529"/>
      <c r="K52" s="529"/>
      <c r="L52" s="529"/>
      <c r="M52" s="529"/>
      <c r="N52" s="52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29"/>
      <c r="AB52" s="471"/>
      <c r="AC52" s="471"/>
      <c r="AD52" s="471"/>
      <c r="AE52" s="471"/>
      <c r="AF52" s="471"/>
      <c r="AG52" s="52"/>
      <c r="AH52" s="52"/>
      <c r="AI52" s="52" t="s">
        <v>1463</v>
      </c>
      <c r="AJ52" s="52"/>
      <c r="AK52" s="52"/>
      <c r="AL52" s="29">
        <v>21</v>
      </c>
      <c r="AM52" s="29"/>
      <c r="AN52" s="52"/>
      <c r="AO52" s="52"/>
      <c r="AP52" s="52"/>
      <c r="AQ52" s="52"/>
      <c r="AR52" s="52"/>
      <c r="AS52" s="29">
        <v>16</v>
      </c>
      <c r="AT52" s="233" t="s">
        <v>1434</v>
      </c>
      <c r="AU52" s="233"/>
      <c r="AV52" s="233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9"/>
      <c r="BH52" s="29"/>
      <c r="BI52" s="409" t="s">
        <v>1581</v>
      </c>
      <c r="BJ52" s="383">
        <f>IF(BJ47&gt;0,BJ47,IF(BJ48&gt;0,BJ48,IF(BJ49&gt;0,BJ49,IF(BJ50&gt;0,BJ50,IF(BJ51&gt;0,BJ51,0)))))</f>
        <v>0</v>
      </c>
      <c r="BK52" s="383">
        <f>IF(BK47&gt;0,BK47,IF(BK48&gt;0,BK48,IF(BK49&gt;0,BK49,IF(BK50&gt;0,BK50,IF(BK51&gt;0,BK51,0)))))</f>
        <v>0</v>
      </c>
      <c r="BL52" s="383">
        <f>IF(BL47&gt;0,BL47,IF(BL48&gt;0,BL48,IF(BL49&gt;0,BL49,IF(BL50&gt;0,BL50,IF(BL51&gt;0,BL51,0)))))</f>
        <v>0</v>
      </c>
      <c r="BM52" s="383">
        <f>IF(BM47&gt;0,BM47,IF(BM48&gt;0,BM48,IF(BM49&gt;0,BM49,IF(BM50&gt;0,BM50,IF(BM51&gt;0,BM51,0)))))</f>
        <v>0</v>
      </c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  <c r="BX52" s="233"/>
      <c r="BY52" s="233"/>
      <c r="BZ52" s="236"/>
      <c r="CA52" s="394" t="s">
        <v>873</v>
      </c>
      <c r="CB52" s="394" t="s">
        <v>847</v>
      </c>
      <c r="CC52" s="395" t="s">
        <v>1573</v>
      </c>
      <c r="CD52" s="394" t="s">
        <v>1574</v>
      </c>
      <c r="CE52" s="395" t="s">
        <v>1573</v>
      </c>
      <c r="CF52" s="394" t="s">
        <v>1575</v>
      </c>
      <c r="CG52" s="233"/>
      <c r="CH52" s="233"/>
      <c r="CI52" s="233"/>
      <c r="CJ52" s="233"/>
      <c r="CK52" s="233"/>
      <c r="CL52" s="233"/>
      <c r="CM52" s="233"/>
      <c r="CN52" s="361" t="str">
        <f t="shared" si="51"/>
        <v xml:space="preserve"> </v>
      </c>
      <c r="CO52" s="361" t="str">
        <f t="shared" si="52"/>
        <v xml:space="preserve"> </v>
      </c>
      <c r="CP52" s="361" t="str">
        <f t="shared" si="53"/>
        <v xml:space="preserve"> </v>
      </c>
      <c r="CQ52" s="361" t="str">
        <f t="shared" si="54"/>
        <v xml:space="preserve"> </v>
      </c>
      <c r="CR52" s="361" t="str">
        <f t="shared" si="55"/>
        <v xml:space="preserve"> </v>
      </c>
      <c r="CS52" s="233" t="s">
        <v>1434</v>
      </c>
      <c r="CT52" s="233"/>
      <c r="CU52" s="233"/>
      <c r="CV52" s="233" t="s">
        <v>1434</v>
      </c>
      <c r="CW52" s="233"/>
      <c r="CX52" s="233"/>
      <c r="CY52" s="233" t="s">
        <v>1019</v>
      </c>
      <c r="CZ52" s="233"/>
      <c r="DA52" s="233" t="s">
        <v>1434</v>
      </c>
      <c r="DB52" s="233"/>
      <c r="DC52" s="233" t="s">
        <v>1434</v>
      </c>
      <c r="DD52" s="233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419" t="s">
        <v>1656</v>
      </c>
      <c r="DT52" s="422">
        <v>19615</v>
      </c>
      <c r="DU52" s="420">
        <v>3</v>
      </c>
      <c r="DV52" s="420">
        <v>65</v>
      </c>
      <c r="DW52" s="420">
        <v>2</v>
      </c>
      <c r="DX52" s="420" t="s">
        <v>1600</v>
      </c>
      <c r="DY52" s="420">
        <v>55</v>
      </c>
      <c r="DZ52" s="420" t="s">
        <v>1622</v>
      </c>
      <c r="EA52" s="29"/>
      <c r="EB52" s="413" t="s">
        <v>1430</v>
      </c>
      <c r="EC52" s="409">
        <f>IF(Equipment!$K$32="Medium",Equipment!$N$32,0)</f>
        <v>0</v>
      </c>
      <c r="ED52" s="432">
        <f>IF(Equipment!$K$32="Medium",Equipment!$L$33,0)</f>
        <v>0</v>
      </c>
      <c r="EE52" s="432">
        <f>IF(Equipment!$K$32="Medium",Equipment!$P$32,0)</f>
        <v>0</v>
      </c>
      <c r="EF52" s="432">
        <f>IF(Equipment!$K$32="Medium",Equipment!$O$33,0)</f>
        <v>0</v>
      </c>
      <c r="EG52" s="432">
        <f>IF(Equipment!$K$32="Medium",Equipment!$L$34,0)</f>
        <v>0</v>
      </c>
      <c r="EH52" s="97">
        <f>IF($AB$27=EB52,EC52,0)</f>
        <v>0</v>
      </c>
      <c r="EI52" s="97">
        <f>IF($AB$27=EB52,ED52,0)</f>
        <v>0</v>
      </c>
      <c r="EJ52" s="97">
        <f>IF($AB$27=EB52,EE52,0)</f>
        <v>0</v>
      </c>
      <c r="EK52" s="97">
        <f>IF($AB$27=EB52,EF52,0)</f>
        <v>0</v>
      </c>
      <c r="EL52" s="97">
        <f>IF($AB$27=EB52,EG52,0)</f>
        <v>0</v>
      </c>
      <c r="EM52" s="29"/>
      <c r="EN52" s="29"/>
      <c r="EO52" s="29"/>
      <c r="EP52" s="29"/>
      <c r="EQ52" s="29"/>
      <c r="ER52" s="29"/>
      <c r="ES52" s="29"/>
      <c r="ET52" s="29"/>
      <c r="EU52" s="29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</row>
    <row r="53" spans="1:168" ht="15.95" customHeight="1" x14ac:dyDescent="0.25">
      <c r="A53" s="29"/>
      <c r="B53" s="29"/>
      <c r="C53" s="29"/>
      <c r="D53" s="138"/>
      <c r="E53" s="29"/>
      <c r="F53" s="29"/>
      <c r="G53" s="29"/>
      <c r="H53" s="29"/>
      <c r="I53" s="29"/>
      <c r="J53" s="138"/>
      <c r="K53" s="138"/>
      <c r="L53" s="138"/>
      <c r="M53" s="29"/>
      <c r="N53" s="138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29"/>
      <c r="AB53" s="471"/>
      <c r="AC53" s="471"/>
      <c r="AD53" s="471"/>
      <c r="AE53" s="471"/>
      <c r="AF53" s="471"/>
      <c r="AG53" s="52"/>
      <c r="AH53" s="52"/>
      <c r="AI53" s="52" t="s">
        <v>1511</v>
      </c>
      <c r="AJ53" s="52"/>
      <c r="AK53" s="52"/>
      <c r="AL53" s="29">
        <v>22</v>
      </c>
      <c r="AM53" s="29"/>
      <c r="AN53" s="52"/>
      <c r="AO53" s="52"/>
      <c r="AP53" s="52"/>
      <c r="AQ53" s="52"/>
      <c r="AR53" s="52"/>
      <c r="AS53" s="29">
        <v>17</v>
      </c>
      <c r="AT53" s="233" t="s">
        <v>1434</v>
      </c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9"/>
      <c r="BH53" s="29"/>
      <c r="BI53" s="408"/>
      <c r="BJ53" s="409"/>
      <c r="BK53" s="408"/>
      <c r="BL53" s="408"/>
      <c r="BM53" s="408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6"/>
      <c r="CA53" s="394" t="s">
        <v>814</v>
      </c>
      <c r="CB53" s="394" t="s">
        <v>847</v>
      </c>
      <c r="CC53" s="395" t="s">
        <v>1573</v>
      </c>
      <c r="CD53" s="394" t="s">
        <v>1574</v>
      </c>
      <c r="CE53" s="395" t="s">
        <v>1573</v>
      </c>
      <c r="CF53" s="394" t="s">
        <v>1575</v>
      </c>
      <c r="CG53" s="233"/>
      <c r="CH53" s="233"/>
      <c r="CI53" s="233"/>
      <c r="CJ53" s="233"/>
      <c r="CK53" s="233"/>
      <c r="CL53" s="233"/>
      <c r="CM53" s="233"/>
      <c r="CN53" s="361" t="str">
        <f t="shared" si="51"/>
        <v xml:space="preserve"> </v>
      </c>
      <c r="CO53" s="361" t="str">
        <f t="shared" si="52"/>
        <v xml:space="preserve"> </v>
      </c>
      <c r="CP53" s="361" t="str">
        <f t="shared" si="53"/>
        <v xml:space="preserve"> </v>
      </c>
      <c r="CQ53" s="361" t="str">
        <f t="shared" si="54"/>
        <v xml:space="preserve"> </v>
      </c>
      <c r="CR53" s="361" t="str">
        <f t="shared" si="55"/>
        <v xml:space="preserve"> </v>
      </c>
      <c r="CS53" s="233" t="s">
        <v>1434</v>
      </c>
      <c r="CT53" s="233"/>
      <c r="CU53" s="233"/>
      <c r="CV53" s="233" t="s">
        <v>1434</v>
      </c>
      <c r="CW53" s="233"/>
      <c r="CX53" s="233"/>
      <c r="CY53" s="233" t="s">
        <v>1434</v>
      </c>
      <c r="CZ53" s="233"/>
      <c r="DA53" s="233" t="s">
        <v>1434</v>
      </c>
      <c r="DB53" s="233"/>
      <c r="DC53" s="233" t="s">
        <v>1434</v>
      </c>
      <c r="DD53" s="233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419" t="s">
        <v>1264</v>
      </c>
      <c r="DT53" s="422">
        <v>20625</v>
      </c>
      <c r="DU53" s="420">
        <v>3</v>
      </c>
      <c r="DV53" s="420">
        <v>100</v>
      </c>
      <c r="DW53" s="420">
        <v>2</v>
      </c>
      <c r="DX53" s="420" t="s">
        <v>878</v>
      </c>
      <c r="DY53" s="420">
        <v>55</v>
      </c>
      <c r="DZ53" s="420" t="s">
        <v>1675</v>
      </c>
      <c r="EA53" s="29"/>
      <c r="EB53" s="29"/>
      <c r="EC53" s="29"/>
      <c r="ED53" s="29"/>
      <c r="EE53" s="29"/>
      <c r="EF53" s="29"/>
      <c r="EG53" s="29"/>
      <c r="EH53" s="97"/>
      <c r="EI53" s="97"/>
      <c r="EJ53" s="97"/>
      <c r="EK53" s="97">
        <f>IF(EK32&gt;0,EK32,IF(EK33&gt;0,EK33,IF(EK34&gt;0,EK34,IF(EK35&gt;0,EK35,IF(EK36&gt;0,EK36,IF(EK37&gt;0,EK37,IF(EK38&gt;0,EK38,IF(EK39&gt;0,EK39,IF(EK40&gt;0,EK40,IF(EK41&gt;0,EK41,IF(EK42&gt;0,EK42,IF(EK43&gt;0,EK43,IF(EK44&gt;0,EK44,IF(EK45&gt;0,EK45,IF(EK46&gt;0,EK46,IF(EK47&gt;0,EK47,IF(EK48&gt;0,EK48,IF(EK49&gt;0,EK49,IF(EK50&gt;0,EK50,IF(EK51&gt;0,EK51,IF(EK52&gt;0,EK52,IF(EK28&gt;0,EK28,IF(EK29&gt;0,EK29,IF(EK30&gt;0,EK30,IF(EK31&gt;0,EK31,0)))))))))))))))))))))))))</f>
        <v>0</v>
      </c>
      <c r="EL53" s="97"/>
      <c r="EM53" s="29"/>
      <c r="EN53" s="29"/>
      <c r="EO53" s="29"/>
      <c r="EP53" s="29"/>
      <c r="EQ53" s="29"/>
      <c r="ER53" s="29"/>
      <c r="ES53" s="29"/>
      <c r="ET53" s="29"/>
      <c r="EU53" s="29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</row>
    <row r="54" spans="1:168" ht="15.95" customHeight="1" x14ac:dyDescent="0.3">
      <c r="A54" s="539" t="s">
        <v>269</v>
      </c>
      <c r="B54" s="539"/>
      <c r="C54" s="530"/>
      <c r="D54" s="530"/>
      <c r="E54" s="530"/>
      <c r="F54" s="530"/>
      <c r="G54" s="530"/>
      <c r="H54" s="530"/>
      <c r="I54" s="530"/>
      <c r="J54" s="530"/>
      <c r="K54" s="530"/>
      <c r="L54" s="531"/>
      <c r="M54" s="531"/>
      <c r="N54" s="531"/>
      <c r="O54" s="531"/>
      <c r="P54" s="531"/>
      <c r="Q54" s="531"/>
      <c r="R54" s="531"/>
      <c r="S54" s="604"/>
      <c r="T54" s="605"/>
      <c r="U54" s="605"/>
      <c r="V54" s="606"/>
      <c r="W54" s="472"/>
      <c r="X54" s="472"/>
      <c r="Y54" s="472"/>
      <c r="Z54" s="472"/>
      <c r="AA54" s="30"/>
      <c r="AB54" s="471"/>
      <c r="AC54" s="471"/>
      <c r="AD54" s="471"/>
      <c r="AE54" s="471"/>
      <c r="AF54" s="471"/>
      <c r="AG54" s="52"/>
      <c r="AH54" s="52"/>
      <c r="AI54" s="52"/>
      <c r="AJ54" s="52"/>
      <c r="AK54" s="52"/>
      <c r="AL54" s="29">
        <v>23</v>
      </c>
      <c r="AM54" s="29"/>
      <c r="AN54" s="52"/>
      <c r="AO54" s="387" t="s">
        <v>1564</v>
      </c>
      <c r="AP54" s="29"/>
      <c r="AQ54" s="29"/>
      <c r="AR54" s="52"/>
      <c r="AS54" s="29">
        <v>18</v>
      </c>
      <c r="AT54" s="233" t="s">
        <v>1434</v>
      </c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9"/>
      <c r="BH54" s="29"/>
      <c r="BI54" s="408"/>
      <c r="BJ54" s="409"/>
      <c r="BK54" s="408"/>
      <c r="BL54" s="408"/>
      <c r="BM54" s="408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6"/>
      <c r="CA54" s="394" t="s">
        <v>872</v>
      </c>
      <c r="CB54" s="394" t="s">
        <v>847</v>
      </c>
      <c r="CC54" s="394"/>
      <c r="CD54" s="394" t="s">
        <v>1575</v>
      </c>
      <c r="CE54" s="394"/>
      <c r="CF54" s="394" t="s">
        <v>1574</v>
      </c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428"/>
      <c r="DT54" s="415"/>
      <c r="DU54" s="415"/>
      <c r="DV54" s="415"/>
      <c r="DW54" s="415"/>
      <c r="DX54" s="415"/>
      <c r="DY54" s="415"/>
      <c r="DZ54" s="415"/>
      <c r="EA54" s="29"/>
      <c r="EB54" s="29" t="s">
        <v>1260</v>
      </c>
      <c r="EC54" s="409"/>
      <c r="ED54" s="409"/>
      <c r="EE54" s="409"/>
      <c r="EF54" s="409"/>
      <c r="EG54" s="409"/>
      <c r="EH54" s="97"/>
      <c r="EI54" s="97"/>
      <c r="EJ54" s="97"/>
      <c r="EK54" s="97"/>
      <c r="EL54" s="97"/>
      <c r="EM54" s="29"/>
      <c r="EN54" s="29"/>
      <c r="EO54" s="29"/>
      <c r="EP54" s="29"/>
      <c r="EQ54" s="29"/>
      <c r="ER54" s="29"/>
      <c r="ES54" s="29"/>
      <c r="ET54" s="29"/>
      <c r="EU54" s="29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</row>
    <row r="55" spans="1:168" ht="15.95" customHeight="1" x14ac:dyDescent="0.25">
      <c r="A55" s="226"/>
      <c r="B55" s="226"/>
      <c r="C55" s="602" t="s">
        <v>1262</v>
      </c>
      <c r="D55" s="602"/>
      <c r="E55" s="602"/>
      <c r="F55" s="602"/>
      <c r="G55" s="473" t="s">
        <v>1540</v>
      </c>
      <c r="H55" s="473"/>
      <c r="I55" s="473"/>
      <c r="J55" s="473"/>
      <c r="K55" s="473"/>
      <c r="L55" s="473" t="s">
        <v>1423</v>
      </c>
      <c r="M55" s="473"/>
      <c r="N55" s="473" t="s">
        <v>793</v>
      </c>
      <c r="O55" s="473"/>
      <c r="P55" s="473"/>
      <c r="Q55" s="473"/>
      <c r="R55" s="473"/>
      <c r="S55" s="473" t="s">
        <v>792</v>
      </c>
      <c r="T55" s="473"/>
      <c r="U55" s="473"/>
      <c r="V55" s="473"/>
      <c r="W55" s="473" t="s">
        <v>792</v>
      </c>
      <c r="X55" s="473"/>
      <c r="Y55" s="473"/>
      <c r="Z55" s="473"/>
      <c r="AA55" s="30"/>
      <c r="AB55" s="471"/>
      <c r="AC55" s="471"/>
      <c r="AD55" s="471"/>
      <c r="AE55" s="471"/>
      <c r="AF55" s="471"/>
      <c r="AG55" s="52"/>
      <c r="AH55" s="52"/>
      <c r="AI55" s="52"/>
      <c r="AJ55" s="52"/>
      <c r="AK55" s="52"/>
      <c r="AL55" s="29"/>
      <c r="AM55" s="29"/>
      <c r="AN55" s="52"/>
      <c r="AO55" s="29"/>
      <c r="AP55" s="29"/>
      <c r="AQ55" s="29"/>
      <c r="AR55" s="52"/>
      <c r="AS55" s="29">
        <v>19</v>
      </c>
      <c r="AT55" s="233" t="s">
        <v>1434</v>
      </c>
      <c r="AU55" s="233"/>
      <c r="AV55" s="233"/>
      <c r="AW55" s="233"/>
      <c r="AX55" s="233"/>
      <c r="AY55" s="233"/>
      <c r="AZ55" s="233"/>
      <c r="BA55" s="233"/>
      <c r="BB55" s="233"/>
      <c r="BC55" s="233"/>
      <c r="BD55" s="233"/>
      <c r="BE55" s="233"/>
      <c r="BF55" s="233"/>
      <c r="BG55" s="29"/>
      <c r="BH55" s="29"/>
      <c r="BI55" s="408"/>
      <c r="BJ55" s="409"/>
      <c r="BK55" s="408"/>
      <c r="BL55" s="408"/>
      <c r="BM55" s="408"/>
      <c r="BN55" s="233"/>
      <c r="BO55" s="233"/>
      <c r="BP55" s="233"/>
      <c r="BQ55" s="233"/>
      <c r="BR55" s="233"/>
      <c r="BS55" s="233"/>
      <c r="BT55" s="233"/>
      <c r="BU55" s="233"/>
      <c r="BV55" s="233"/>
      <c r="BW55" s="233"/>
      <c r="BX55" s="233"/>
      <c r="BY55" s="233"/>
      <c r="BZ55" s="236"/>
      <c r="CA55" s="394" t="s">
        <v>817</v>
      </c>
      <c r="CB55" s="394" t="s">
        <v>847</v>
      </c>
      <c r="CC55" s="395" t="s">
        <v>1573</v>
      </c>
      <c r="CD55" s="394" t="s">
        <v>1574</v>
      </c>
      <c r="CE55" s="395" t="s">
        <v>1573</v>
      </c>
      <c r="CF55" s="394" t="s">
        <v>1575</v>
      </c>
      <c r="CG55" s="233"/>
      <c r="CH55" s="233"/>
      <c r="CI55" s="233"/>
      <c r="CJ55" s="233"/>
      <c r="CK55" s="233"/>
      <c r="CL55" s="233"/>
      <c r="CM55" s="233"/>
      <c r="CN55" s="233"/>
      <c r="CO55" s="233"/>
      <c r="CP55" s="233"/>
      <c r="CQ55" s="233"/>
      <c r="CR55" s="233"/>
      <c r="CS55" s="233"/>
      <c r="CT55" s="233"/>
      <c r="CU55" s="233"/>
      <c r="CV55" s="233"/>
      <c r="CW55" s="233"/>
      <c r="CX55" s="233"/>
      <c r="CY55" s="233"/>
      <c r="CZ55" s="233"/>
      <c r="DA55" s="233"/>
      <c r="DB55" s="233"/>
      <c r="DC55" s="233"/>
      <c r="DD55" s="233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427" t="s">
        <v>1176</v>
      </c>
      <c r="DT55" s="416"/>
      <c r="DU55" s="414"/>
      <c r="DV55" s="414"/>
      <c r="DW55" s="414"/>
      <c r="DX55" s="414"/>
      <c r="DY55" s="414"/>
      <c r="DZ55" s="414"/>
      <c r="EA55" s="29"/>
      <c r="EB55" s="413" t="str">
        <f t="shared" ref="EB55:EB77" si="73">DS56</f>
        <v>Mercenary Heavy</v>
      </c>
      <c r="EC55" s="409">
        <f t="shared" ref="EC55:EC77" si="74">DU56</f>
        <v>3</v>
      </c>
      <c r="ED55" s="409">
        <f t="shared" ref="ED55:ED77" si="75">DV56</f>
        <v>75</v>
      </c>
      <c r="EE55" s="409">
        <f t="shared" ref="EE55:EE77" si="76">DW56</f>
        <v>1</v>
      </c>
      <c r="EF55" s="409" t="str">
        <f t="shared" ref="EF55:EF77" si="77">DX56</f>
        <v>C; S; A</v>
      </c>
      <c r="EG55" s="409">
        <f t="shared" ref="EG55:EG77" si="78">DY56</f>
        <v>60</v>
      </c>
      <c r="EH55" s="97">
        <f t="shared" ref="EH55:EH71" si="79">IF($AB$27=EB55,EC55,0)</f>
        <v>0</v>
      </c>
      <c r="EI55" s="97">
        <f t="shared" ref="EI55:EI71" si="80">IF($AB$27=EB55,ED55,0)</f>
        <v>0</v>
      </c>
      <c r="EJ55" s="97">
        <f t="shared" ref="EJ55:EJ71" si="81">IF($AB$27=EB55,EE55,0)</f>
        <v>0</v>
      </c>
      <c r="EK55" s="97">
        <f t="shared" ref="EK55:EK71" si="82">IF($AB$27=EB55,EF55,0)</f>
        <v>0</v>
      </c>
      <c r="EL55" s="97">
        <f t="shared" ref="EL55:EL71" si="83">IF($AB$27=EB55,EG55,0)</f>
        <v>0</v>
      </c>
      <c r="EM55" s="29"/>
      <c r="EN55" s="29"/>
      <c r="EO55" s="29"/>
      <c r="EP55" s="29"/>
      <c r="EQ55" s="29"/>
      <c r="ER55" s="29"/>
      <c r="ES55" s="29"/>
      <c r="ET55" s="29"/>
      <c r="EU55" s="29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</row>
    <row r="56" spans="1:168" ht="15.95" customHeight="1" x14ac:dyDescent="0.25">
      <c r="A56" s="532" t="s">
        <v>423</v>
      </c>
      <c r="B56" s="532"/>
      <c r="C56" s="533"/>
      <c r="D56" s="366">
        <f>D44</f>
        <v>0</v>
      </c>
      <c r="E56" s="17"/>
      <c r="F56" s="366">
        <f>IF(Y56&gt;$B$6,(Y56-$B$6)*-1,0)</f>
        <v>0</v>
      </c>
      <c r="G56" s="17"/>
      <c r="H56" s="368"/>
      <c r="I56" s="17"/>
      <c r="J56" s="379">
        <f>IF(C54=$AH$6,$N$6,IF($B$1="Elcor",$N$12,$N$8))</f>
        <v>-5</v>
      </c>
      <c r="K56" s="17"/>
      <c r="L56" s="366">
        <f>IF(AND(C54=AH1,Feats!Q35=1),1,0)+IF(AND(C54=AH2,Feats!Q36=1),1,0)+IF(AND(C54=AH3,Feats!Q37=1),1,0)+IF(AND(C54=AH4,Feats!Q38=1),1,0)+IF(AND(C54=AH5,Feats!Q39=1),1,0)+IF(AND(C54=AH6,Feats!Q40=1),1,0)+IF(AND(C54=AH1,Feats!Q42=1),1,0)+IF(AND(C54=AH2,Feats!Q43=1),1,0)+IF(AND(C54=AH3,Feats!Q44=1),1,0)+IF(AND(C54=AH4,Feats!Q45=1),1,0)+IF(AND(C54=AH5,Feats!Q46=1),1,0)+IF(AND(C54=AH6,Feats!Q47=1),1,0)+IF(AND(C54=AH7,Feats!H46=1),IF($D$44&lt;=3,1,ROUNDDOWN($D$44/2,0)),0)</f>
        <v>0</v>
      </c>
      <c r="M56" s="17"/>
      <c r="N56" s="366">
        <f>IF($B$2="Fine",8,IF($B$2="Diminutive",4,IF($B$2="Tiny", 2,IF($B$2="Small",1,IF($B$2="Medium",0,IF($B$2="Large",-1,IF($B$2="Huge",-2,IF($B$2="Gargantuan",-4,IF($B$2="Colossal",-8,0)))))))))</f>
        <v>0</v>
      </c>
      <c r="O56" s="17"/>
      <c r="P56" s="368"/>
      <c r="Q56" s="29"/>
      <c r="R56" s="366">
        <f>AP46</f>
        <v>0</v>
      </c>
      <c r="S56" s="534"/>
      <c r="T56" s="535"/>
      <c r="U56" s="29"/>
      <c r="V56" s="30"/>
      <c r="W56" s="30"/>
      <c r="X56" s="370" t="s">
        <v>202</v>
      </c>
      <c r="Y56" s="469">
        <f>AP29</f>
        <v>0</v>
      </c>
      <c r="Z56" s="470"/>
      <c r="AA56" s="30"/>
      <c r="AB56" s="471"/>
      <c r="AC56" s="471"/>
      <c r="AD56" s="471"/>
      <c r="AE56" s="471"/>
      <c r="AF56" s="471"/>
      <c r="AG56" s="52"/>
      <c r="AH56" s="52"/>
      <c r="AI56" s="52"/>
      <c r="AJ56" s="52"/>
      <c r="AK56" s="52"/>
      <c r="AL56" s="29"/>
      <c r="AM56" s="29"/>
      <c r="AN56" s="52"/>
      <c r="AO56" s="391" t="s">
        <v>202</v>
      </c>
      <c r="AP56" s="468">
        <f>IF(C66=$AH$1,AY28,IF(C66=$AH$2,AY62,IF(C66=$AH$3,AY93,IF(C66=$AH$4,AY124,IF(C66=$AH$5,AY155,IF(C66=$AH$6,AY186,0))))))</f>
        <v>0</v>
      </c>
      <c r="AQ56" s="468"/>
      <c r="AR56" s="52"/>
      <c r="AS56" s="29">
        <v>20</v>
      </c>
      <c r="AT56" s="233" t="s">
        <v>1434</v>
      </c>
      <c r="AU56" s="233"/>
      <c r="AV56" s="233"/>
      <c r="AW56" s="233"/>
      <c r="AX56" s="233"/>
      <c r="AY56" s="233"/>
      <c r="AZ56" s="233"/>
      <c r="BA56" s="233"/>
      <c r="BB56" s="233"/>
      <c r="BC56" s="233"/>
      <c r="BD56" s="233"/>
      <c r="BE56" s="233"/>
      <c r="BF56" s="233"/>
      <c r="BG56" s="29"/>
      <c r="BH56" s="29"/>
      <c r="BI56" s="408"/>
      <c r="BJ56" s="409"/>
      <c r="BK56" s="408"/>
      <c r="BL56" s="408"/>
      <c r="BM56" s="408"/>
      <c r="BN56" s="233"/>
      <c r="BO56" s="233"/>
      <c r="BP56" s="233"/>
      <c r="BQ56" s="233"/>
      <c r="BR56" s="233"/>
      <c r="BS56" s="233"/>
      <c r="BT56" s="233"/>
      <c r="BU56" s="233"/>
      <c r="BV56" s="233"/>
      <c r="BW56" s="233"/>
      <c r="BX56" s="233"/>
      <c r="BY56" s="233"/>
      <c r="BZ56" s="236"/>
      <c r="CA56" s="394" t="s">
        <v>871</v>
      </c>
      <c r="CB56" s="394" t="s">
        <v>847</v>
      </c>
      <c r="CC56" s="395" t="s">
        <v>1573</v>
      </c>
      <c r="CD56" s="394" t="s">
        <v>1574</v>
      </c>
      <c r="CE56" s="395" t="s">
        <v>1573</v>
      </c>
      <c r="CF56" s="394" t="s">
        <v>1575</v>
      </c>
      <c r="CG56" s="233"/>
      <c r="CH56" s="233"/>
      <c r="CI56" s="233"/>
      <c r="CJ56" s="233"/>
      <c r="CK56" s="233"/>
      <c r="CL56" s="233"/>
      <c r="CM56" s="233"/>
      <c r="CN56" s="233"/>
      <c r="CO56" s="233"/>
      <c r="CP56" s="233"/>
      <c r="CQ56" s="233"/>
      <c r="CR56" s="233"/>
      <c r="CS56" s="233"/>
      <c r="CT56" s="233"/>
      <c r="CU56" s="233"/>
      <c r="CV56" s="233"/>
      <c r="CW56" s="233"/>
      <c r="CX56" s="233"/>
      <c r="CY56" s="233"/>
      <c r="CZ56" s="233"/>
      <c r="DA56" s="233"/>
      <c r="DB56" s="233"/>
      <c r="DC56" s="233"/>
      <c r="DD56" s="233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421" t="s">
        <v>1657</v>
      </c>
      <c r="DT56" s="422">
        <v>6850</v>
      </c>
      <c r="DU56" s="420">
        <v>3</v>
      </c>
      <c r="DV56" s="420">
        <v>75</v>
      </c>
      <c r="DW56" s="420">
        <v>1</v>
      </c>
      <c r="DX56" s="420" t="s">
        <v>1177</v>
      </c>
      <c r="DY56" s="420">
        <v>60</v>
      </c>
      <c r="DZ56" s="420" t="s">
        <v>1178</v>
      </c>
      <c r="EA56" s="29">
        <v>41</v>
      </c>
      <c r="EB56" s="413" t="str">
        <f t="shared" si="73"/>
        <v>Agent Heavy</v>
      </c>
      <c r="EC56" s="409">
        <f t="shared" si="74"/>
        <v>3</v>
      </c>
      <c r="ED56" s="409">
        <f t="shared" si="75"/>
        <v>85</v>
      </c>
      <c r="EE56" s="409">
        <f t="shared" si="76"/>
        <v>1</v>
      </c>
      <c r="EF56" s="409">
        <f t="shared" si="77"/>
        <v>0</v>
      </c>
      <c r="EG56" s="409">
        <f t="shared" si="78"/>
        <v>71</v>
      </c>
      <c r="EH56" s="97">
        <f t="shared" si="79"/>
        <v>0</v>
      </c>
      <c r="EI56" s="97">
        <f t="shared" si="80"/>
        <v>0</v>
      </c>
      <c r="EJ56" s="97">
        <f t="shared" si="81"/>
        <v>0</v>
      </c>
      <c r="EK56" s="97">
        <f t="shared" si="82"/>
        <v>0</v>
      </c>
      <c r="EL56" s="97">
        <f t="shared" si="83"/>
        <v>0</v>
      </c>
      <c r="EM56" s="29"/>
      <c r="EN56" s="29"/>
      <c r="EO56" s="29"/>
      <c r="EP56" s="29"/>
      <c r="EQ56" s="29"/>
      <c r="ER56" s="29"/>
      <c r="ES56" s="29"/>
      <c r="ET56" s="29"/>
      <c r="EU56" s="29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</row>
    <row r="57" spans="1:168" ht="15.95" customHeight="1" x14ac:dyDescent="0.25">
      <c r="A57" s="29"/>
      <c r="B57" s="29"/>
      <c r="C57" s="29"/>
      <c r="D57" s="148" t="s">
        <v>72</v>
      </c>
      <c r="E57" s="149"/>
      <c r="F57" s="148" t="s">
        <v>424</v>
      </c>
      <c r="G57" s="67"/>
      <c r="H57" s="369" t="s">
        <v>97</v>
      </c>
      <c r="I57" s="67"/>
      <c r="J57" s="369" t="s">
        <v>33</v>
      </c>
      <c r="K57" s="67"/>
      <c r="L57" s="369" t="s">
        <v>73</v>
      </c>
      <c r="M57" s="67"/>
      <c r="N57" s="369" t="s">
        <v>37</v>
      </c>
      <c r="O57" s="67"/>
      <c r="P57" s="369" t="s">
        <v>38</v>
      </c>
      <c r="Q57" s="150"/>
      <c r="R57" s="603" t="s">
        <v>425</v>
      </c>
      <c r="S57" s="603"/>
      <c r="T57" s="603"/>
      <c r="U57" s="29"/>
      <c r="V57" s="30"/>
      <c r="W57" s="30"/>
      <c r="X57" s="370" t="s">
        <v>420</v>
      </c>
      <c r="Y57" s="469">
        <f>AP30</f>
        <v>0</v>
      </c>
      <c r="Z57" s="470"/>
      <c r="AA57" s="30"/>
      <c r="AB57" s="471"/>
      <c r="AC57" s="471"/>
      <c r="AD57" s="471"/>
      <c r="AE57" s="471"/>
      <c r="AF57" s="471"/>
      <c r="AG57" s="52"/>
      <c r="AH57" s="52"/>
      <c r="AI57" s="52"/>
      <c r="AJ57" s="52"/>
      <c r="AK57" s="52"/>
      <c r="AL57" s="29"/>
      <c r="AM57" s="29" t="s">
        <v>1564</v>
      </c>
      <c r="AN57" s="52"/>
      <c r="AO57" s="391" t="s">
        <v>420</v>
      </c>
      <c r="AP57" s="468">
        <f>IF(C66=$AH$1,AZ28,IF(C66=$AH$2,AZ62,IF(C66=$AH$3,AZ93,IF(C66=$AH$4,AZ124,IF(C66=$AH$5,AZ155,IF(C66=$AH$6,AZ186,0))))))</f>
        <v>0</v>
      </c>
      <c r="AQ57" s="468"/>
      <c r="AR57" s="52"/>
      <c r="AS57" s="29">
        <v>21</v>
      </c>
      <c r="AT57" s="233" t="s">
        <v>1434</v>
      </c>
      <c r="AU57" s="233"/>
      <c r="AV57" s="233"/>
      <c r="AW57" s="233"/>
      <c r="AX57" s="233"/>
      <c r="AY57" s="233"/>
      <c r="AZ57" s="233"/>
      <c r="BA57" s="233"/>
      <c r="BB57" s="233"/>
      <c r="BC57" s="233"/>
      <c r="BD57" s="233"/>
      <c r="BE57" s="233"/>
      <c r="BF57" s="233"/>
      <c r="BG57" s="29"/>
      <c r="BH57" s="29"/>
      <c r="BI57" s="408"/>
      <c r="BJ57" s="409"/>
      <c r="BK57" s="408"/>
      <c r="BL57" s="408"/>
      <c r="BM57" s="408"/>
      <c r="BN57" s="233"/>
      <c r="BO57" s="233"/>
      <c r="BP57" s="233"/>
      <c r="BQ57" s="233"/>
      <c r="BR57" s="233"/>
      <c r="BS57" s="233"/>
      <c r="BT57" s="233"/>
      <c r="BU57" s="233"/>
      <c r="BV57" s="233"/>
      <c r="BW57" s="233"/>
      <c r="BX57" s="233"/>
      <c r="BY57" s="233"/>
      <c r="BZ57" s="236"/>
      <c r="CA57" s="401" t="s">
        <v>1517</v>
      </c>
      <c r="CB57" s="394" t="s">
        <v>847</v>
      </c>
      <c r="CC57" s="395" t="s">
        <v>1579</v>
      </c>
      <c r="CD57" s="403"/>
      <c r="CE57" s="395" t="s">
        <v>1573</v>
      </c>
      <c r="CF57" s="394" t="s">
        <v>1575</v>
      </c>
      <c r="CG57" s="233"/>
      <c r="CH57" s="233"/>
      <c r="CI57" s="233"/>
      <c r="CJ57" s="233"/>
      <c r="CK57" s="233"/>
      <c r="CL57" s="233"/>
      <c r="CM57" s="233"/>
      <c r="CN57" s="233"/>
      <c r="CO57" s="233"/>
      <c r="CP57" s="233"/>
      <c r="CQ57" s="233"/>
      <c r="CR57" s="233"/>
      <c r="CS57" s="233"/>
      <c r="CT57" s="233"/>
      <c r="CU57" s="233"/>
      <c r="CV57" s="233"/>
      <c r="CW57" s="233"/>
      <c r="CX57" s="233"/>
      <c r="CY57" s="233"/>
      <c r="CZ57" s="233"/>
      <c r="DA57" s="233"/>
      <c r="DB57" s="233"/>
      <c r="DC57" s="233"/>
      <c r="DD57" s="233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421" t="s">
        <v>1658</v>
      </c>
      <c r="DT57" s="422">
        <v>7140</v>
      </c>
      <c r="DU57" s="420">
        <v>3</v>
      </c>
      <c r="DV57" s="420">
        <v>85</v>
      </c>
      <c r="DW57" s="420">
        <v>1</v>
      </c>
      <c r="DX57" s="420"/>
      <c r="DY57" s="420">
        <v>71</v>
      </c>
      <c r="DZ57" s="420" t="s">
        <v>1179</v>
      </c>
      <c r="EA57" s="29">
        <v>42</v>
      </c>
      <c r="EB57" s="413" t="str">
        <f t="shared" si="73"/>
        <v>Onyx Heavy</v>
      </c>
      <c r="EC57" s="409">
        <f t="shared" si="74"/>
        <v>3</v>
      </c>
      <c r="ED57" s="409">
        <f t="shared" si="75"/>
        <v>95</v>
      </c>
      <c r="EE57" s="409">
        <f t="shared" si="76"/>
        <v>1</v>
      </c>
      <c r="EF57" s="409" t="str">
        <f t="shared" si="77"/>
        <v>V; C; S; A; L</v>
      </c>
      <c r="EG57" s="409">
        <f t="shared" si="78"/>
        <v>60</v>
      </c>
      <c r="EH57" s="97">
        <f t="shared" si="79"/>
        <v>0</v>
      </c>
      <c r="EI57" s="97">
        <f t="shared" si="80"/>
        <v>0</v>
      </c>
      <c r="EJ57" s="97">
        <f t="shared" si="81"/>
        <v>0</v>
      </c>
      <c r="EK57" s="97">
        <f t="shared" si="82"/>
        <v>0</v>
      </c>
      <c r="EL57" s="97">
        <f t="shared" si="83"/>
        <v>0</v>
      </c>
      <c r="EM57" s="29"/>
      <c r="EN57" s="29"/>
      <c r="EO57" s="29"/>
      <c r="EP57" s="29"/>
      <c r="EQ57" s="29"/>
      <c r="ER57" s="29"/>
      <c r="ES57" s="29"/>
      <c r="ET57" s="29"/>
      <c r="EU57" s="29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</row>
    <row r="58" spans="1:168" ht="15.95" customHeight="1" x14ac:dyDescent="0.25">
      <c r="A58" s="532" t="s">
        <v>426</v>
      </c>
      <c r="B58" s="532"/>
      <c r="C58" s="532"/>
      <c r="D58" s="388">
        <f>IF(Y57="Burst","N/A",IF(AP45="Yes",D56+F56+H56+J56+L56+N56+P56,D56+F56+H56+J56+L56+N56+P56+Y59+R56+S56))</f>
        <v>-5</v>
      </c>
      <c r="E58" s="30"/>
      <c r="F58" s="532" t="s">
        <v>430</v>
      </c>
      <c r="G58" s="532"/>
      <c r="H58" s="532"/>
      <c r="I58" s="532"/>
      <c r="J58" s="532"/>
      <c r="K58" s="533"/>
      <c r="L58" s="388">
        <f>IF(OR(Y57="Burst",Y57="Single Shot",Y57="Semi-Automatic"),"N/A",D56+F56+H56+J56+L56+N56+P56+IF(-1*IF(AP45="Yes",Y59,2*Y59)&gt;R56+S56,IF(AP45="Yes",Y59,2*Y59)+R56+S56,0))</f>
        <v>-5</v>
      </c>
      <c r="M58" s="30"/>
      <c r="N58" s="30"/>
      <c r="O58" s="29"/>
      <c r="P58" s="536" t="str">
        <f>AP40</f>
        <v>0-20/×0</v>
      </c>
      <c r="Q58" s="537"/>
      <c r="R58" s="537"/>
      <c r="S58" s="537"/>
      <c r="T58" s="538"/>
      <c r="U58" s="29"/>
      <c r="V58" s="30"/>
      <c r="W58" s="30"/>
      <c r="X58" s="370" t="s">
        <v>421</v>
      </c>
      <c r="Y58" s="468">
        <f>IF(AND(AP31&lt;=0,OR(C54=AH1,C54=AH2,C54=AH3,C54=AH4,C54=AH5)),1,AP31)</f>
        <v>0</v>
      </c>
      <c r="Z58" s="468"/>
      <c r="AA58" s="30"/>
      <c r="AB58" s="471"/>
      <c r="AC58" s="471"/>
      <c r="AD58" s="471"/>
      <c r="AE58" s="471"/>
      <c r="AF58" s="471"/>
      <c r="AG58" s="52"/>
      <c r="AH58" s="52"/>
      <c r="AI58" s="52"/>
      <c r="AJ58" s="52"/>
      <c r="AK58" s="52"/>
      <c r="AL58" s="29">
        <v>1</v>
      </c>
      <c r="AM58" s="376" t="str">
        <f t="shared" ref="AM58:AM67" si="84">IF($C$66=$AH$1,AT3,IF($C$66=$AH$2,AT34,IF($C$66=$AH$3,AT68,IF($C$66=$AH$4,AT99,IF($C$66=$AH$5,AT130,IF($C$66=$AH$6,AT161,IF($C$66=$AH$7,"Ranged Touch"," ")))))))</f>
        <v xml:space="preserve"> </v>
      </c>
      <c r="AN58" s="52"/>
      <c r="AO58" s="391" t="s">
        <v>421</v>
      </c>
      <c r="AP58" s="468">
        <f>IF(C66=$AH$1,BA28,IF(C66=$AH$2,BA62,IF(C66=$AH$3,BA93,IF(C66=$AH$4,BA124,IF(C66=$AH$5,BA155,IF(C66=$AH$6,BA186,0))))))+IF(BJ29="RoF +1",1,0)+IF(BK29="RoF +1",1,0)+IF(BL29="RoF +1",1,0)+IF(BM29="RoF +1",1,0)+IF(OR(N66="Heat Sink",N66=CV15),1,0)+IF(OR(S66="Heat Sink",S66=CV15),1,0)+IF(OR(W66="Heat Sink",W66=CV15),1,0)+IF(N66=CV16,2,0)+IF(S66=CV16,2,0)+IF(W66=CV16,2,0)+IF(N66=CV17,3,0)+IF(S66=CV17,3,0)+IF(W66=CV17,3,0)+IF(N66=CV18,-1,0)+IF(S66=CV18,-1,0)+IF(W66=CV18,-1,0)+IF(N66=CV19,-1,0)+IF(S66=CV19,-1,0)+IF(W66=CV19,-1,0)+IF(N66=CS23,-1,0)+IF(S66=CS23,-1,0)+IF(W66=CS23,-1,0)+IF(N66=CY23,-2,0)+IF(S66=CY23,-2,0)+IF(W66=CY23,-2,0)+IF(N66=CY20,1,0)+IF(S66=CY20,1,0)+IF(W66=CY20,1,0)+IF(N66=CS31,-3,0)+IF(S66=CS31,-3,0)+IF(W66=CS31,-3,0)</f>
        <v>0</v>
      </c>
      <c r="AQ58" s="468"/>
      <c r="AR58" s="52"/>
      <c r="AS58" s="29">
        <v>22</v>
      </c>
      <c r="AT58" s="233" t="s">
        <v>1434</v>
      </c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9"/>
      <c r="BH58" s="29"/>
      <c r="BI58" s="408"/>
      <c r="BJ58" s="409"/>
      <c r="BK58" s="408"/>
      <c r="BL58" s="408"/>
      <c r="BM58" s="408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6"/>
      <c r="CA58" s="401" t="s">
        <v>1518</v>
      </c>
      <c r="CB58" s="394" t="s">
        <v>847</v>
      </c>
      <c r="CC58" s="395" t="s">
        <v>1573</v>
      </c>
      <c r="CD58" s="394" t="s">
        <v>1574</v>
      </c>
      <c r="CE58" s="395" t="s">
        <v>1573</v>
      </c>
      <c r="CF58" s="394" t="s">
        <v>1575</v>
      </c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421" t="s">
        <v>1659</v>
      </c>
      <c r="DT58" s="422">
        <v>11555</v>
      </c>
      <c r="DU58" s="420">
        <v>3</v>
      </c>
      <c r="DV58" s="420">
        <v>95</v>
      </c>
      <c r="DW58" s="420">
        <v>1</v>
      </c>
      <c r="DX58" s="420" t="s">
        <v>1159</v>
      </c>
      <c r="DY58" s="420">
        <v>60</v>
      </c>
      <c r="DZ58" s="420" t="s">
        <v>1180</v>
      </c>
      <c r="EA58" s="29">
        <v>43</v>
      </c>
      <c r="EB58" s="413" t="str">
        <f t="shared" si="73"/>
        <v>Maverick Heavy</v>
      </c>
      <c r="EC58" s="409">
        <f t="shared" si="74"/>
        <v>4</v>
      </c>
      <c r="ED58" s="409">
        <f t="shared" si="75"/>
        <v>0</v>
      </c>
      <c r="EE58" s="409">
        <f t="shared" si="76"/>
        <v>3</v>
      </c>
      <c r="EF58" s="409" t="str">
        <f t="shared" si="77"/>
        <v>V; C; S; A; L</v>
      </c>
      <c r="EG58" s="409">
        <f t="shared" si="78"/>
        <v>60</v>
      </c>
      <c r="EH58" s="97">
        <f t="shared" si="79"/>
        <v>0</v>
      </c>
      <c r="EI58" s="97">
        <f t="shared" si="80"/>
        <v>0</v>
      </c>
      <c r="EJ58" s="97">
        <f t="shared" si="81"/>
        <v>0</v>
      </c>
      <c r="EK58" s="97">
        <f t="shared" si="82"/>
        <v>0</v>
      </c>
      <c r="EL58" s="97">
        <f t="shared" si="83"/>
        <v>0</v>
      </c>
      <c r="EM58" s="29"/>
      <c r="EN58" s="29"/>
      <c r="EO58" s="29"/>
      <c r="EP58" s="29"/>
      <c r="EQ58" s="29"/>
      <c r="ER58" s="29"/>
      <c r="ES58" s="29"/>
      <c r="ET58" s="29"/>
      <c r="EU58" s="29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</row>
    <row r="59" spans="1:168" ht="15.95" customHeight="1" x14ac:dyDescent="0.25">
      <c r="A59" s="532" t="s">
        <v>427</v>
      </c>
      <c r="B59" s="532"/>
      <c r="C59" s="532"/>
      <c r="D59" s="388">
        <f>IF(OR(Y57="Burst",Y57="Single Shot"),"N/A",D56+F56+H56+J56+L56+N56+P56+IF(-1*IF(AP45="Yes",Y59,2*Y59)&gt;R56+S56,IF(AP45="Yes",Y59,2*Y59)+R56+S56,0))</f>
        <v>-5</v>
      </c>
      <c r="E59" s="30"/>
      <c r="F59" s="532" t="s">
        <v>431</v>
      </c>
      <c r="G59" s="532"/>
      <c r="H59" s="532"/>
      <c r="I59" s="532"/>
      <c r="J59" s="532"/>
      <c r="K59" s="533"/>
      <c r="L59" s="388">
        <f>IF(OR(Y57="Burst",Y57="Single Shot",Y57="Semi-Automatic"),"N/A",D56+F56+H56+J56+L56+N56+P56+IF(-2*IF(AP45="Yes",Y59,2*Y59)&gt;R56+S56,2*IF(AP45="Yes",Y59,2*Y59)+R56+S56,0))</f>
        <v>-5</v>
      </c>
      <c r="M59" s="30"/>
      <c r="N59" s="30"/>
      <c r="O59" s="29"/>
      <c r="P59" s="526" t="s">
        <v>85</v>
      </c>
      <c r="Q59" s="526"/>
      <c r="R59" s="526"/>
      <c r="S59" s="526"/>
      <c r="T59" s="526"/>
      <c r="U59" s="29"/>
      <c r="V59" s="30"/>
      <c r="W59" s="30"/>
      <c r="X59" s="370" t="s">
        <v>190</v>
      </c>
      <c r="Y59" s="469">
        <f>AP32</f>
        <v>0</v>
      </c>
      <c r="Z59" s="470"/>
      <c r="AA59" s="30"/>
      <c r="AB59" s="471"/>
      <c r="AC59" s="471"/>
      <c r="AD59" s="471"/>
      <c r="AE59" s="471"/>
      <c r="AF59" s="471"/>
      <c r="AG59" s="52"/>
      <c r="AH59" s="52"/>
      <c r="AI59" s="52"/>
      <c r="AJ59" s="52"/>
      <c r="AK59" s="52"/>
      <c r="AL59" s="29">
        <v>2</v>
      </c>
      <c r="AM59" s="376" t="str">
        <f t="shared" si="84"/>
        <v xml:space="preserve"> </v>
      </c>
      <c r="AN59" s="52"/>
      <c r="AO59" s="391" t="s">
        <v>190</v>
      </c>
      <c r="AP59" s="468">
        <f>IF(C66=$AH$1,BB28,IF(C66=$AH$2,BB62,IF(C66=$AH$3,BB93,IF(C66=$AH$4,BB124,IF(C66=$AH$5,BB155,IF(C66=$AH$6,BB186,0))))))</f>
        <v>0</v>
      </c>
      <c r="AQ59" s="468"/>
      <c r="AR59" s="52"/>
      <c r="AS59" s="29">
        <v>23</v>
      </c>
      <c r="AT59" s="233" t="s">
        <v>1434</v>
      </c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9"/>
      <c r="BH59" s="29"/>
      <c r="BI59" s="408"/>
      <c r="BJ59" s="409"/>
      <c r="BK59" s="408"/>
      <c r="BL59" s="408"/>
      <c r="BM59" s="408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6"/>
      <c r="CA59" s="401" t="s">
        <v>1526</v>
      </c>
      <c r="CB59" s="394" t="s">
        <v>847</v>
      </c>
      <c r="CC59" s="395" t="s">
        <v>1573</v>
      </c>
      <c r="CD59" s="399"/>
      <c r="CE59" s="395" t="s">
        <v>1573</v>
      </c>
      <c r="CF59" s="394" t="s">
        <v>1575</v>
      </c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419" t="s">
        <v>1660</v>
      </c>
      <c r="DT59" s="422">
        <v>13800</v>
      </c>
      <c r="DU59" s="420">
        <v>4</v>
      </c>
      <c r="DV59" s="420">
        <v>0</v>
      </c>
      <c r="DW59" s="420">
        <v>3</v>
      </c>
      <c r="DX59" s="423" t="s">
        <v>1159</v>
      </c>
      <c r="DY59" s="420">
        <v>60</v>
      </c>
      <c r="DZ59" s="420" t="s">
        <v>1609</v>
      </c>
      <c r="EA59" s="29">
        <v>44</v>
      </c>
      <c r="EB59" s="413" t="str">
        <f t="shared" si="73"/>
        <v>Explorer Heavy</v>
      </c>
      <c r="EC59" s="409">
        <f t="shared" si="74"/>
        <v>3</v>
      </c>
      <c r="ED59" s="409">
        <f t="shared" si="75"/>
        <v>80</v>
      </c>
      <c r="EE59" s="409">
        <f t="shared" si="76"/>
        <v>1</v>
      </c>
      <c r="EF59" s="409" t="str">
        <f t="shared" si="77"/>
        <v>V; S; C; L</v>
      </c>
      <c r="EG59" s="409">
        <f t="shared" si="78"/>
        <v>59</v>
      </c>
      <c r="EH59" s="97">
        <f t="shared" si="79"/>
        <v>0</v>
      </c>
      <c r="EI59" s="97">
        <f t="shared" si="80"/>
        <v>0</v>
      </c>
      <c r="EJ59" s="97">
        <f t="shared" si="81"/>
        <v>0</v>
      </c>
      <c r="EK59" s="97">
        <f t="shared" si="82"/>
        <v>0</v>
      </c>
      <c r="EL59" s="97">
        <f t="shared" si="83"/>
        <v>0</v>
      </c>
      <c r="EM59" s="29"/>
      <c r="EN59" s="29"/>
      <c r="EO59" s="29"/>
      <c r="EP59" s="29"/>
      <c r="EQ59" s="29"/>
      <c r="ER59" s="29"/>
      <c r="ES59" s="29"/>
      <c r="ET59" s="29"/>
      <c r="EU59" s="29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</row>
    <row r="60" spans="1:168" ht="15.95" customHeight="1" x14ac:dyDescent="0.25">
      <c r="A60" s="532" t="s">
        <v>428</v>
      </c>
      <c r="B60" s="532"/>
      <c r="C60" s="532"/>
      <c r="D60" s="388">
        <f>IF(Y57="Single Shot","N/A",D56+F56+H56+J56+L56+N56+P56+IF(-1*IF(AP45="Yes",Y59,2*Y59)&gt;R56+S56,IF(AP45="Yes",Y59,2*Y59)+R56+S56,0))</f>
        <v>-5</v>
      </c>
      <c r="E60" s="30"/>
      <c r="F60" s="532" t="s">
        <v>432</v>
      </c>
      <c r="G60" s="532"/>
      <c r="H60" s="532"/>
      <c r="I60" s="532"/>
      <c r="J60" s="532"/>
      <c r="K60" s="533"/>
      <c r="L60" s="388">
        <f>IF(OR(Y57="Burst",Y57="Single Shot",Y57="Semi-Automatic"),"N/A",D56+F56+H56+J56+L56+N56+P56+IF(-3*IF(AP45="Yes",Y59,2*Y59)&gt;R56+S56,3*IF(AP45="Yes",Y59,2*Y59)+R56+S56,0))</f>
        <v>-5</v>
      </c>
      <c r="M60" s="30"/>
      <c r="N60" s="30"/>
      <c r="O60" s="29"/>
      <c r="P60" s="525"/>
      <c r="Q60" s="525"/>
      <c r="R60" s="525"/>
      <c r="S60" s="525"/>
      <c r="T60" s="525"/>
      <c r="U60" s="525"/>
      <c r="V60" s="525"/>
      <c r="W60" s="30"/>
      <c r="X60" s="370" t="s">
        <v>191</v>
      </c>
      <c r="Y60" s="469">
        <f>AP33</f>
        <v>0</v>
      </c>
      <c r="Z60" s="470"/>
      <c r="AA60" s="30"/>
      <c r="AB60" s="471"/>
      <c r="AC60" s="471"/>
      <c r="AD60" s="471"/>
      <c r="AE60" s="471"/>
      <c r="AF60" s="471"/>
      <c r="AG60" s="52"/>
      <c r="AH60" s="52"/>
      <c r="AI60" s="52"/>
      <c r="AJ60" s="52"/>
      <c r="AK60" s="52"/>
      <c r="AL60" s="29">
        <v>3</v>
      </c>
      <c r="AM60" s="376" t="str">
        <f t="shared" si="84"/>
        <v xml:space="preserve"> </v>
      </c>
      <c r="AN60" s="52"/>
      <c r="AO60" s="391" t="s">
        <v>191</v>
      </c>
      <c r="AP60" s="468">
        <f>ROUND((IF(C66=$AH$1,BC28,IF(C66=$AH$2,BC62,IF(C66=$AH$3,BC93,IF(C66=$AH$4,BC124,IF(C66=$AH$5,BC155,IF(C66=$AH$6,BC186,0))))))+IF(BJ29="Ammo +5",5,0)+IF(BK29="Ammo +5",5,0)+IF(BL29="Ammo +5",5,0)+IF(BM29="Ammo +5",5,0)+IF(BJ29="Ammo +6",6,0)+IF(BK29="Ammo +6",6,0)+IF(BL29="Ammo +6",6,0)+IF(BM29="Ammo +6",6,0))*(1+IF(N66=CS25,0.1,0)+IF(S66=CS25,0.1,0)+IF(W66=CS25,0.1,0)+IF(N66=CS26,0.2,0)+IF(S66=CS26,0.2,0)+IF(W66=CS26,0.2,0)+IF(N66=CS27,0.3,0)+IF(S66=CS27,0.3,0)+IF(W66=CS27,0.3,0)+IF(N66=CS28,0.4,0)+IF(S66=CS28,0.4,0)+IF(W66=CS28,0.4,0)+IF(N66=CS29,0.5,0)+IF(S66=CS29,0.5,0)+IF(W66=CS29,0.5,0)+IF(AB27=DS51,0.2,0)),0)</f>
        <v>0</v>
      </c>
      <c r="AQ60" s="468"/>
      <c r="AR60" s="52"/>
      <c r="AS60" s="29" t="s">
        <v>1562</v>
      </c>
      <c r="AT60" s="371" t="str">
        <f>IF($C$42=$AH$2,$G$42," ")</f>
        <v xml:space="preserve"> </v>
      </c>
      <c r="AU60" s="371">
        <f t="shared" ref="AU60:BF60" si="85">IF($AT$60=$AT$34,AU34,IF($AT$60=$AT$35,AU35,IF($AT$60=$AT$36,AU36,IF($AT$60=$AT$37,AU37,IF($AT$60=$AT$38,AU38,IF($AT$60=$AT$39,AU39,IF($AT$60=$AT$40,AU40,IF($AT$60=$AT$41,AU41,IF($AT$60=$AT$43,AU43,0)))))))))</f>
        <v>0</v>
      </c>
      <c r="AV60" s="371">
        <f t="shared" si="85"/>
        <v>0</v>
      </c>
      <c r="AW60" s="371">
        <f t="shared" si="85"/>
        <v>0</v>
      </c>
      <c r="AX60" s="371">
        <f t="shared" si="85"/>
        <v>0</v>
      </c>
      <c r="AY60" s="371">
        <f t="shared" si="85"/>
        <v>0</v>
      </c>
      <c r="AZ60" s="371">
        <f t="shared" si="85"/>
        <v>0</v>
      </c>
      <c r="BA60" s="371">
        <f t="shared" si="85"/>
        <v>0</v>
      </c>
      <c r="BB60" s="371">
        <f t="shared" si="85"/>
        <v>0</v>
      </c>
      <c r="BC60" s="371">
        <f t="shared" si="85"/>
        <v>0</v>
      </c>
      <c r="BD60" s="371">
        <f t="shared" si="85"/>
        <v>0</v>
      </c>
      <c r="BE60" s="371">
        <f t="shared" si="85"/>
        <v>0</v>
      </c>
      <c r="BF60" s="371">
        <f t="shared" si="85"/>
        <v>0</v>
      </c>
      <c r="BG60" s="29"/>
      <c r="BH60" s="29"/>
      <c r="BI60" s="408"/>
      <c r="BJ60" s="409"/>
      <c r="BK60" s="408"/>
      <c r="BL60" s="408"/>
      <c r="BM60" s="408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6"/>
      <c r="CA60" s="401" t="s">
        <v>1519</v>
      </c>
      <c r="CB60" s="394" t="s">
        <v>847</v>
      </c>
      <c r="CC60" s="399"/>
      <c r="CD60" s="395" t="s">
        <v>1580</v>
      </c>
      <c r="CE60" s="394" t="s">
        <v>1574</v>
      </c>
      <c r="CF60" s="394" t="s">
        <v>1575</v>
      </c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419" t="s">
        <v>1661</v>
      </c>
      <c r="DT60" s="424">
        <v>16390</v>
      </c>
      <c r="DU60" s="425">
        <v>3</v>
      </c>
      <c r="DV60" s="425">
        <v>80</v>
      </c>
      <c r="DW60" s="425">
        <v>1</v>
      </c>
      <c r="DX60" s="426" t="s">
        <v>1181</v>
      </c>
      <c r="DY60" s="425">
        <v>59</v>
      </c>
      <c r="DZ60" s="420" t="s">
        <v>1610</v>
      </c>
      <c r="EA60" s="29">
        <v>45</v>
      </c>
      <c r="EB60" s="413" t="str">
        <f t="shared" si="73"/>
        <v>General Heavy Armor</v>
      </c>
      <c r="EC60" s="409">
        <f t="shared" si="74"/>
        <v>3</v>
      </c>
      <c r="ED60" s="409">
        <f t="shared" si="75"/>
        <v>90</v>
      </c>
      <c r="EE60" s="409">
        <f t="shared" si="76"/>
        <v>1</v>
      </c>
      <c r="EF60" s="409" t="str">
        <f t="shared" si="77"/>
        <v>V; C; S; A; L</v>
      </c>
      <c r="EG60" s="409">
        <f t="shared" si="78"/>
        <v>70</v>
      </c>
      <c r="EH60" s="97">
        <f t="shared" si="79"/>
        <v>0</v>
      </c>
      <c r="EI60" s="97">
        <f t="shared" si="80"/>
        <v>0</v>
      </c>
      <c r="EJ60" s="97">
        <f t="shared" si="81"/>
        <v>0</v>
      </c>
      <c r="EK60" s="97">
        <f t="shared" si="82"/>
        <v>0</v>
      </c>
      <c r="EL60" s="97">
        <f t="shared" si="83"/>
        <v>0</v>
      </c>
      <c r="EM60" s="29"/>
      <c r="EN60" s="29"/>
      <c r="EO60" s="29"/>
      <c r="EP60" s="29"/>
      <c r="EQ60" s="29"/>
      <c r="ER60" s="29"/>
      <c r="ES60" s="29"/>
      <c r="ET60" s="29"/>
      <c r="EU60" s="29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</row>
    <row r="61" spans="1:168" ht="15.95" customHeight="1" x14ac:dyDescent="0.25">
      <c r="A61" s="532" t="s">
        <v>429</v>
      </c>
      <c r="B61" s="532"/>
      <c r="C61" s="532"/>
      <c r="D61" s="388">
        <f>IF(Y57="Single Shot","N/A",D56+F56+H56+J56+L56+N56+P56+IF(-2*IF(AP45="Yes",Y59,2*Y59)&gt;R56+S56,2*IF(AP45="Yes",Y59,2*Y59)+R56+S56,0))</f>
        <v>-5</v>
      </c>
      <c r="E61" s="30"/>
      <c r="F61" s="30"/>
      <c r="G61" s="30"/>
      <c r="H61" s="30"/>
      <c r="I61" s="30"/>
      <c r="J61" s="30"/>
      <c r="K61" s="528" t="s">
        <v>433</v>
      </c>
      <c r="L61" s="528"/>
      <c r="M61" s="528"/>
      <c r="N61" s="30"/>
      <c r="O61" s="29"/>
      <c r="P61" s="525"/>
      <c r="Q61" s="525"/>
      <c r="R61" s="525"/>
      <c r="S61" s="525"/>
      <c r="T61" s="525"/>
      <c r="U61" s="525"/>
      <c r="V61" s="525"/>
      <c r="W61" s="30"/>
      <c r="X61" s="370" t="s">
        <v>583</v>
      </c>
      <c r="Y61" s="469">
        <f>AP34</f>
        <v>0</v>
      </c>
      <c r="Z61" s="470"/>
      <c r="AA61" s="30"/>
      <c r="AB61" s="471"/>
      <c r="AC61" s="471"/>
      <c r="AD61" s="471"/>
      <c r="AE61" s="471"/>
      <c r="AF61" s="471"/>
      <c r="AG61" s="52"/>
      <c r="AH61" s="52"/>
      <c r="AI61" s="52"/>
      <c r="AJ61" s="52"/>
      <c r="AK61" s="52"/>
      <c r="AL61" s="29">
        <v>4</v>
      </c>
      <c r="AM61" s="376" t="str">
        <f t="shared" si="84"/>
        <v xml:space="preserve"> </v>
      </c>
      <c r="AN61" s="52"/>
      <c r="AO61" s="391" t="s">
        <v>583</v>
      </c>
      <c r="AP61" s="468">
        <f>MROUND((IF(C66=$AH$1,BD28,IF(C66=$AH$2,BD62,IF(C66=$AH$3,BD93,IF(C66=$AH$4,BD124,IF(C66=$AH$5,BD155,IF(C66=$AH$6,BD186,0))))))+IF(BJ29="Range +10",10,0)+IF(BK29="Range +10",10,0)+IF(BL29="Range +10",10,0)+IF(BM29="Range +10",10,0)+IF(BJ29="Range +5",5,0)+IF(BK29="Range +5",5,0)+IF(BL29="Range +5",5,0)+IF(BM29="Range +5",5,0))*(1+IF(N66=CS21,0.5,0)+IF(S66=CS21,0.5,0)+IF(W66=CS21,0.5,0)+IF(N66=DA8,0.1,0)+IF(S66=DA8,0.1,0)+IF(W66=DA8,0.1,0)+IF(N66=DA9,0.2,0)+IF(S66=DA9,0.2,0)+IF(W66=DA9,0.2,0)+IF(N66=DA10,0.3,0)+IF(S66=DA10,0.3,0)+IF(W66=DA10,0.3,0)+IF(N66=DA11,0.4,0)+IF(S66=DA11,0.4,0)+IF(W66=DA11,0.4,0)+IF(N66=DA12,0.5,0)+IF(S66=DA12,0.5,0)+IF(W66=DA12,0.5,0)+IF(N66=CV20,0.25,0)+IF(S66=CV20,0.25,0)+IF(W66=CV20,0.25,0)),5)</f>
        <v>0</v>
      </c>
      <c r="AQ61" s="468"/>
      <c r="AR61" s="52"/>
      <c r="AS61" s="29" t="s">
        <v>1563</v>
      </c>
      <c r="AT61" s="371" t="str">
        <f>IF($C$54=$AH$2,$G$54," ")</f>
        <v xml:space="preserve"> </v>
      </c>
      <c r="AU61" s="371">
        <f t="shared" ref="AU61:BF61" si="86">IF($AT$61=$AT$34,AU34,IF($AT$61=$AT$35,AU35,IF($AT$61=$AT$36,AU36,IF($AT$61=$AT$37,AU37,IF($AT$61=$AT$38,AU38,IF($AT$61=$AT$39,AU39,IF($AT$61=$AT$40,AU40,IF($AT$61=$AT$41,AU41,IF($AT$61=$AT$43,AU43,0)))))))))</f>
        <v>0</v>
      </c>
      <c r="AV61" s="371">
        <f t="shared" si="86"/>
        <v>0</v>
      </c>
      <c r="AW61" s="371">
        <f t="shared" si="86"/>
        <v>0</v>
      </c>
      <c r="AX61" s="371">
        <f t="shared" si="86"/>
        <v>0</v>
      </c>
      <c r="AY61" s="371">
        <f t="shared" si="86"/>
        <v>0</v>
      </c>
      <c r="AZ61" s="371">
        <f t="shared" si="86"/>
        <v>0</v>
      </c>
      <c r="BA61" s="371">
        <f t="shared" si="86"/>
        <v>0</v>
      </c>
      <c r="BB61" s="371">
        <f t="shared" si="86"/>
        <v>0</v>
      </c>
      <c r="BC61" s="371">
        <f t="shared" si="86"/>
        <v>0</v>
      </c>
      <c r="BD61" s="371">
        <f t="shared" si="86"/>
        <v>0</v>
      </c>
      <c r="BE61" s="371">
        <f t="shared" si="86"/>
        <v>0</v>
      </c>
      <c r="BF61" s="371">
        <f t="shared" si="86"/>
        <v>0</v>
      </c>
      <c r="BG61" s="29"/>
      <c r="BH61" s="29"/>
      <c r="BI61" s="408"/>
      <c r="BJ61" s="409"/>
      <c r="BK61" s="408"/>
      <c r="BL61" s="408"/>
      <c r="BM61" s="408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6"/>
      <c r="CA61" s="401" t="s">
        <v>1520</v>
      </c>
      <c r="CB61" s="394" t="s">
        <v>847</v>
      </c>
      <c r="CC61" s="395" t="s">
        <v>1573</v>
      </c>
      <c r="CD61" s="394" t="s">
        <v>1574</v>
      </c>
      <c r="CE61" s="395" t="s">
        <v>1573</v>
      </c>
      <c r="CF61" s="394" t="s">
        <v>1575</v>
      </c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421" t="s">
        <v>1189</v>
      </c>
      <c r="DT61" s="422">
        <v>18900</v>
      </c>
      <c r="DU61" s="420">
        <v>3</v>
      </c>
      <c r="DV61" s="420">
        <v>90</v>
      </c>
      <c r="DW61" s="420">
        <v>1</v>
      </c>
      <c r="DX61" s="420" t="s">
        <v>1159</v>
      </c>
      <c r="DY61" s="420">
        <v>70</v>
      </c>
      <c r="DZ61" s="420"/>
      <c r="EA61" s="29">
        <v>46</v>
      </c>
      <c r="EB61" s="413" t="str">
        <f t="shared" si="73"/>
        <v>Terminus Assault Armor</v>
      </c>
      <c r="EC61" s="409">
        <f t="shared" si="74"/>
        <v>4</v>
      </c>
      <c r="ED61" s="409">
        <f t="shared" si="75"/>
        <v>105</v>
      </c>
      <c r="EE61" s="409">
        <f t="shared" si="76"/>
        <v>0</v>
      </c>
      <c r="EF61" s="409">
        <f t="shared" si="77"/>
        <v>0</v>
      </c>
      <c r="EG61" s="409">
        <f t="shared" si="78"/>
        <v>70</v>
      </c>
      <c r="EH61" s="97">
        <f t="shared" si="79"/>
        <v>0</v>
      </c>
      <c r="EI61" s="97">
        <f t="shared" si="80"/>
        <v>0</v>
      </c>
      <c r="EJ61" s="97">
        <f t="shared" si="81"/>
        <v>0</v>
      </c>
      <c r="EK61" s="97">
        <f t="shared" si="82"/>
        <v>0</v>
      </c>
      <c r="EL61" s="97">
        <f t="shared" si="83"/>
        <v>0</v>
      </c>
      <c r="EM61" s="29"/>
      <c r="EN61" s="29"/>
      <c r="EO61" s="29"/>
      <c r="EP61" s="29"/>
      <c r="EQ61" s="29"/>
      <c r="ER61" s="29"/>
      <c r="ES61" s="29"/>
      <c r="ET61" s="29"/>
      <c r="EU61" s="29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</row>
    <row r="62" spans="1:168" ht="15.95" customHeight="1" x14ac:dyDescent="0.25">
      <c r="A62" s="30"/>
      <c r="B62" s="30"/>
      <c r="C62" s="528" t="s">
        <v>433</v>
      </c>
      <c r="D62" s="528"/>
      <c r="E62" s="528"/>
      <c r="F62" s="30"/>
      <c r="G62" s="30"/>
      <c r="H62" s="30"/>
      <c r="I62" s="30"/>
      <c r="J62" s="30"/>
      <c r="K62" s="30"/>
      <c r="L62" s="30"/>
      <c r="M62" s="30"/>
      <c r="N62" s="30"/>
      <c r="O62" s="29"/>
      <c r="P62" s="525"/>
      <c r="Q62" s="525"/>
      <c r="R62" s="525"/>
      <c r="S62" s="525"/>
      <c r="T62" s="525"/>
      <c r="U62" s="525"/>
      <c r="V62" s="525"/>
      <c r="W62" s="30"/>
      <c r="X62" s="370" t="s">
        <v>771</v>
      </c>
      <c r="Y62" s="469">
        <f>AP35</f>
        <v>0</v>
      </c>
      <c r="Z62" s="470"/>
      <c r="AA62" s="29"/>
      <c r="AB62" s="471"/>
      <c r="AC62" s="471"/>
      <c r="AD62" s="471"/>
      <c r="AE62" s="471"/>
      <c r="AF62" s="471"/>
      <c r="AG62" s="52"/>
      <c r="AH62" s="52"/>
      <c r="AI62" s="52"/>
      <c r="AJ62" s="52"/>
      <c r="AK62" s="52"/>
      <c r="AL62" s="29">
        <v>5</v>
      </c>
      <c r="AM62" s="376" t="str">
        <f t="shared" si="84"/>
        <v xml:space="preserve"> </v>
      </c>
      <c r="AN62" s="52"/>
      <c r="AO62" s="391" t="s">
        <v>771</v>
      </c>
      <c r="AP62" s="469">
        <f>(IF($B$2=$AI$28,IF(C66=$AH$1,BE28,IF(C66=$AH$2,BE62,IF(C66=$AH$3,BE93,IF(C66=$AH$4,BE124,IF(C66=$AH$5,BE155,IF(C66=$AH$6,BE186,0)))))),IF(C66=$AH$1,BF28,IF(C66=$AH$2,BF62,IF(C66=$AH$3,BF93,IF(C66=$AH$4,BF124,IF(C66=$AH$5,BF155,IF(C66=$AH$6,BF186,0))))))))*(1-IF(L66=$CB$5,0.05,IF(L66=$CC$5,0.1,IF(L66=$CD$5,0.15,IF(L66=$CE$5,0.2,IF(L66=$CF$5,0.25,0)))))+IF(OR(N66=CY13,N66=CY14,N66=CY15,N66=CY16,N66=CY17),0.25,0)+IF(OR(S66=CY13,S66=CY14,S66=CY15,S66=CY16,S66=CY17),0.25,0)+IF(OR(W66=CY13,W66=CY14,W66=CY15,W66=CY16,W66=CY17),0.25,0)-IF(N66=CS41,0.1,0)-IF(S66=CS41,0.1,0)-IF(W66=CS41,0.1,0)-IF(N66=CS42,0.2,0)-IF(S66=CS42,0.2,0)-IF(W66=CS42,0.2,0)-IF(N66=CS43,0.3,0)-IF(S66=CS43,0.3,0)-IF(W66=CS43,0.3,0)-IF(N66=CS44,0.4,0)-IF(S66=CS44,0.4,0)-IF(W66=CS44,0.4,0)-IF(N66=CS45,0.5,0)-IF(S66=CS45,0.5,0)-IF(W66=CS45,0.5,0))</f>
        <v>0</v>
      </c>
      <c r="AQ62" s="470"/>
      <c r="AR62" s="52"/>
      <c r="AS62" s="29" t="s">
        <v>1564</v>
      </c>
      <c r="AT62" s="371" t="str">
        <f>IF($C$66=$AH$2,$G$66," ")</f>
        <v xml:space="preserve"> </v>
      </c>
      <c r="AU62" s="371">
        <f t="shared" ref="AU62:BF62" si="87">IF($AT$62=$AT$34,AU34,IF($AT$62=$AT$35,AU35,IF($AT$62=$AT$36,AU36,IF($AT$62=$AT$37,AU37,IF($AT$62=$AT$38,AU38,IF($AT$62=$AT$39,AU39,IF($AT$62=$AT$40,AU40,IF($AT$62=$AT$41,AU41,IF($AT$62=$AT$43,AU43,0)))))))))</f>
        <v>0</v>
      </c>
      <c r="AV62" s="371">
        <f t="shared" si="87"/>
        <v>0</v>
      </c>
      <c r="AW62" s="371">
        <f t="shared" si="87"/>
        <v>0</v>
      </c>
      <c r="AX62" s="371">
        <f t="shared" si="87"/>
        <v>0</v>
      </c>
      <c r="AY62" s="371">
        <f t="shared" si="87"/>
        <v>0</v>
      </c>
      <c r="AZ62" s="371">
        <f t="shared" si="87"/>
        <v>0</v>
      </c>
      <c r="BA62" s="371">
        <f t="shared" si="87"/>
        <v>0</v>
      </c>
      <c r="BB62" s="371">
        <f t="shared" si="87"/>
        <v>0</v>
      </c>
      <c r="BC62" s="371">
        <f t="shared" si="87"/>
        <v>0</v>
      </c>
      <c r="BD62" s="371">
        <f t="shared" si="87"/>
        <v>0</v>
      </c>
      <c r="BE62" s="371">
        <f t="shared" si="87"/>
        <v>0</v>
      </c>
      <c r="BF62" s="371">
        <f t="shared" si="87"/>
        <v>0</v>
      </c>
      <c r="BG62" s="29"/>
      <c r="BH62" s="29"/>
      <c r="BI62" s="408"/>
      <c r="BJ62" s="409"/>
      <c r="BK62" s="408"/>
      <c r="BL62" s="408"/>
      <c r="BM62" s="408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6"/>
      <c r="CA62" s="401" t="s">
        <v>1521</v>
      </c>
      <c r="CB62" s="394" t="s">
        <v>847</v>
      </c>
      <c r="CC62" s="395" t="s">
        <v>1573</v>
      </c>
      <c r="CD62" s="402"/>
      <c r="CE62" s="394" t="s">
        <v>1574</v>
      </c>
      <c r="CF62" s="404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419" t="s">
        <v>1190</v>
      </c>
      <c r="DT62" s="422">
        <v>20825</v>
      </c>
      <c r="DU62" s="420">
        <v>4</v>
      </c>
      <c r="DV62" s="420">
        <v>105</v>
      </c>
      <c r="DW62" s="420">
        <v>0</v>
      </c>
      <c r="DX62" s="420"/>
      <c r="DY62" s="420">
        <v>70</v>
      </c>
      <c r="DZ62" s="429" t="s">
        <v>1611</v>
      </c>
      <c r="EA62" s="29">
        <v>47</v>
      </c>
      <c r="EB62" s="413" t="str">
        <f t="shared" si="73"/>
        <v>Scorpion Heavy</v>
      </c>
      <c r="EC62" s="409">
        <f t="shared" si="74"/>
        <v>4</v>
      </c>
      <c r="ED62" s="409">
        <f t="shared" si="75"/>
        <v>90</v>
      </c>
      <c r="EE62" s="409">
        <f t="shared" si="76"/>
        <v>1</v>
      </c>
      <c r="EF62" s="409">
        <f t="shared" si="77"/>
        <v>0</v>
      </c>
      <c r="EG62" s="409">
        <f t="shared" si="78"/>
        <v>68</v>
      </c>
      <c r="EH62" s="97">
        <f t="shared" si="79"/>
        <v>0</v>
      </c>
      <c r="EI62" s="97">
        <f t="shared" si="80"/>
        <v>0</v>
      </c>
      <c r="EJ62" s="97">
        <f t="shared" si="81"/>
        <v>0</v>
      </c>
      <c r="EK62" s="97">
        <f t="shared" si="82"/>
        <v>0</v>
      </c>
      <c r="EL62" s="97">
        <f t="shared" si="83"/>
        <v>0</v>
      </c>
      <c r="EM62" s="29"/>
      <c r="EN62" s="29"/>
      <c r="EO62" s="29"/>
      <c r="EP62" s="29"/>
      <c r="EQ62" s="29"/>
      <c r="ER62" s="29"/>
      <c r="ES62" s="29"/>
      <c r="ET62" s="29"/>
      <c r="EU62" s="29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</row>
    <row r="63" spans="1:168" ht="16.5" thickBot="1" x14ac:dyDescent="0.3">
      <c r="A63" s="501" t="s">
        <v>201</v>
      </c>
      <c r="B63" s="501"/>
      <c r="C63" s="501"/>
      <c r="D63" s="468">
        <f>AP36</f>
        <v>0</v>
      </c>
      <c r="E63" s="468"/>
      <c r="F63" s="468"/>
      <c r="G63" s="367" t="s">
        <v>7</v>
      </c>
      <c r="H63" s="525"/>
      <c r="I63" s="525"/>
      <c r="J63" s="525"/>
      <c r="K63" s="367" t="s">
        <v>7</v>
      </c>
      <c r="L63" s="543"/>
      <c r="M63" s="543"/>
      <c r="N63" s="543"/>
      <c r="O63" s="29"/>
      <c r="P63" s="526" t="s">
        <v>86</v>
      </c>
      <c r="Q63" s="526"/>
      <c r="R63" s="526"/>
      <c r="S63" s="526"/>
      <c r="T63" s="526"/>
      <c r="U63" s="526"/>
      <c r="V63" s="526"/>
      <c r="W63" s="29"/>
      <c r="X63" s="29"/>
      <c r="Y63" s="29"/>
      <c r="Z63" s="29"/>
      <c r="AA63" s="29"/>
      <c r="AB63" s="471"/>
      <c r="AC63" s="471"/>
      <c r="AD63" s="471"/>
      <c r="AE63" s="471"/>
      <c r="AF63" s="471"/>
      <c r="AG63" s="52"/>
      <c r="AH63" s="52"/>
      <c r="AI63" s="52"/>
      <c r="AJ63" s="52"/>
      <c r="AK63" s="52"/>
      <c r="AL63" s="29">
        <v>6</v>
      </c>
      <c r="AM63" s="376" t="str">
        <f t="shared" si="84"/>
        <v xml:space="preserve"> </v>
      </c>
      <c r="AN63" s="52"/>
      <c r="AO63" s="391" t="s">
        <v>467</v>
      </c>
      <c r="AP63" s="469">
        <f>IF($B$2=$AI$28,IF(C66=$AH$1,AU28,IF(C66=$AH$2,AU62,IF(C66=$AH$3,AU93,IF(C66=$AH$4,AU124,IF(C66=$AH$5,AU155,IF(C66=$AH$6,AU186,0)))))),IF(C66=$AH$1,AV28,IF(C66=$AH$2,AV62,IF(C66=$AH$3,AV93,IF(C66=$AH$4,AV124,IF(C66=$AH$5,AV155,IF(C66=$AH$6,AV186,0)))))))</f>
        <v>0</v>
      </c>
      <c r="AQ63" s="470"/>
      <c r="AR63" s="52"/>
      <c r="AS63" s="29" t="s">
        <v>1565</v>
      </c>
      <c r="AT63" s="371" t="str">
        <f>IF($C$78=$AH$2,$G$78," ")</f>
        <v xml:space="preserve"> </v>
      </c>
      <c r="AU63" s="371">
        <f t="shared" ref="AU63:BF63" si="88">IF($AT$63=$AT$34,AU34,IF($AT$63=$AT$35,AU35,IF($AT$63=$AT$36,AU36,IF($AT$63=$AT$37,AU37,IF($AT$63=$AT$38,AU38,IF($AT$63=$AT$39,AU39,IF($AT$63=$AT$40,AU40,IF($AT$63=$AT$41,AU41,IF($AT$63=$AT$43,AU43,0)))))))))</f>
        <v>0</v>
      </c>
      <c r="AV63" s="371">
        <f t="shared" si="88"/>
        <v>0</v>
      </c>
      <c r="AW63" s="371">
        <f t="shared" si="88"/>
        <v>0</v>
      </c>
      <c r="AX63" s="371">
        <f t="shared" si="88"/>
        <v>0</v>
      </c>
      <c r="AY63" s="371">
        <f t="shared" si="88"/>
        <v>0</v>
      </c>
      <c r="AZ63" s="371">
        <f t="shared" si="88"/>
        <v>0</v>
      </c>
      <c r="BA63" s="371">
        <f t="shared" si="88"/>
        <v>0</v>
      </c>
      <c r="BB63" s="371">
        <f t="shared" si="88"/>
        <v>0</v>
      </c>
      <c r="BC63" s="371">
        <f t="shared" si="88"/>
        <v>0</v>
      </c>
      <c r="BD63" s="371">
        <f t="shared" si="88"/>
        <v>0</v>
      </c>
      <c r="BE63" s="371">
        <f t="shared" si="88"/>
        <v>0</v>
      </c>
      <c r="BF63" s="371">
        <f t="shared" si="88"/>
        <v>0</v>
      </c>
      <c r="BG63" s="29"/>
      <c r="BH63" s="29"/>
      <c r="BI63" s="408"/>
      <c r="BJ63" s="409"/>
      <c r="BK63" s="408"/>
      <c r="BL63" s="408"/>
      <c r="BM63" s="408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6"/>
      <c r="CA63" s="401"/>
      <c r="CB63" s="401"/>
      <c r="CC63" s="401"/>
      <c r="CD63" s="401"/>
      <c r="CE63" s="401"/>
      <c r="CF63" s="401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421" t="s">
        <v>1662</v>
      </c>
      <c r="DT63" s="422">
        <v>22870</v>
      </c>
      <c r="DU63" s="420">
        <v>4</v>
      </c>
      <c r="DV63" s="420">
        <v>90</v>
      </c>
      <c r="DW63" s="420">
        <v>1</v>
      </c>
      <c r="DX63" s="420"/>
      <c r="DY63" s="420">
        <v>68</v>
      </c>
      <c r="DZ63" s="420" t="s">
        <v>1182</v>
      </c>
      <c r="EA63" s="29"/>
      <c r="EB63" s="413" t="str">
        <f t="shared" si="73"/>
        <v>Heleus Heavy</v>
      </c>
      <c r="EC63" s="409">
        <f t="shared" si="74"/>
        <v>3</v>
      </c>
      <c r="ED63" s="409">
        <f t="shared" si="75"/>
        <v>100</v>
      </c>
      <c r="EE63" s="409">
        <f t="shared" si="76"/>
        <v>0</v>
      </c>
      <c r="EF63" s="409" t="str">
        <f t="shared" si="77"/>
        <v>V; A</v>
      </c>
      <c r="EG63" s="409">
        <f t="shared" si="78"/>
        <v>70</v>
      </c>
      <c r="EH63" s="97">
        <f t="shared" si="79"/>
        <v>0</v>
      </c>
      <c r="EI63" s="97">
        <f t="shared" si="80"/>
        <v>0</v>
      </c>
      <c r="EJ63" s="97">
        <f t="shared" si="81"/>
        <v>0</v>
      </c>
      <c r="EK63" s="97">
        <f t="shared" si="82"/>
        <v>0</v>
      </c>
      <c r="EL63" s="97">
        <f t="shared" si="83"/>
        <v>0</v>
      </c>
      <c r="EM63" s="29"/>
      <c r="EN63" s="29"/>
      <c r="EO63" s="29"/>
      <c r="EP63" s="29"/>
      <c r="EQ63" s="29"/>
      <c r="ER63" s="29"/>
      <c r="ES63" s="29"/>
      <c r="ET63" s="29"/>
      <c r="EU63" s="29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</row>
    <row r="64" spans="1:168" ht="15.95" customHeight="1" thickBot="1" x14ac:dyDescent="0.3">
      <c r="A64" s="29"/>
      <c r="B64" s="29"/>
      <c r="C64" s="29"/>
      <c r="D64" s="524" t="s">
        <v>2</v>
      </c>
      <c r="E64" s="524"/>
      <c r="F64" s="524"/>
      <c r="G64" s="44"/>
      <c r="H64" s="529" t="s">
        <v>891</v>
      </c>
      <c r="I64" s="529"/>
      <c r="J64" s="529"/>
      <c r="K64" s="529"/>
      <c r="L64" s="529"/>
      <c r="M64" s="529"/>
      <c r="N64" s="529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29"/>
      <c r="AB64" s="471"/>
      <c r="AC64" s="471"/>
      <c r="AD64" s="471"/>
      <c r="AE64" s="471"/>
      <c r="AF64" s="471"/>
      <c r="AG64" s="52"/>
      <c r="AH64" s="52"/>
      <c r="AI64" s="52"/>
      <c r="AJ64" s="52"/>
      <c r="AK64" s="52"/>
      <c r="AL64" s="29">
        <v>7</v>
      </c>
      <c r="AM64" s="376" t="str">
        <f t="shared" si="84"/>
        <v xml:space="preserve"> </v>
      </c>
      <c r="AN64" s="52"/>
      <c r="AO64" s="391" t="s">
        <v>1570</v>
      </c>
      <c r="AP64" s="469" t="str">
        <f>AQ65&amp;"20/×"&amp;AP66</f>
        <v>0-20/×0</v>
      </c>
      <c r="AQ64" s="470"/>
      <c r="AR64" s="52"/>
      <c r="AS64" s="29" t="s">
        <v>1566</v>
      </c>
      <c r="AT64" s="371" t="str">
        <f>IF($C$90=$AH$2,$G$90," ")</f>
        <v xml:space="preserve"> </v>
      </c>
      <c r="AU64" s="371">
        <f t="shared" ref="AU64:BF64" si="89">IF($AT$64=$AT$34,AU34,IF($AT$64=$AT$35,AU35,IF($AT$64=$AT$36,AU36,IF($AT$64=$AT$37,AU37,IF($AT$64=$AT$38,AU38,IF($AT$64=$AT$39,AU39,IF($AT$64=$AT$40,AU40,IF($AT$64=$AT$41,AU41,IF($AT$64=$AT$43,AU43,0)))))))))</f>
        <v>0</v>
      </c>
      <c r="AV64" s="371">
        <f t="shared" si="89"/>
        <v>0</v>
      </c>
      <c r="AW64" s="371">
        <f t="shared" si="89"/>
        <v>0</v>
      </c>
      <c r="AX64" s="371">
        <f t="shared" si="89"/>
        <v>0</v>
      </c>
      <c r="AY64" s="371">
        <f t="shared" si="89"/>
        <v>0</v>
      </c>
      <c r="AZ64" s="371">
        <f t="shared" si="89"/>
        <v>0</v>
      </c>
      <c r="BA64" s="371">
        <f t="shared" si="89"/>
        <v>0</v>
      </c>
      <c r="BB64" s="371">
        <f t="shared" si="89"/>
        <v>0</v>
      </c>
      <c r="BC64" s="371">
        <f t="shared" si="89"/>
        <v>0</v>
      </c>
      <c r="BD64" s="371">
        <f t="shared" si="89"/>
        <v>0</v>
      </c>
      <c r="BE64" s="371">
        <f t="shared" si="89"/>
        <v>0</v>
      </c>
      <c r="BF64" s="371">
        <f t="shared" si="89"/>
        <v>0</v>
      </c>
      <c r="BG64" s="29"/>
      <c r="BH64" s="29"/>
      <c r="BI64" s="408"/>
      <c r="BJ64" s="409"/>
      <c r="BK64" s="408"/>
      <c r="BL64" s="408"/>
      <c r="BM64" s="408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6"/>
      <c r="CA64" s="636" t="s">
        <v>874</v>
      </c>
      <c r="CB64" s="637"/>
      <c r="CC64" s="637"/>
      <c r="CD64" s="637"/>
      <c r="CE64" s="637"/>
      <c r="CF64" s="638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419" t="s">
        <v>1663</v>
      </c>
      <c r="DT64" s="422">
        <v>22290</v>
      </c>
      <c r="DU64" s="420">
        <v>3</v>
      </c>
      <c r="DV64" s="420">
        <v>100</v>
      </c>
      <c r="DW64" s="420"/>
      <c r="DX64" s="420" t="s">
        <v>1598</v>
      </c>
      <c r="DY64" s="420">
        <v>70</v>
      </c>
      <c r="DZ64" s="420" t="s">
        <v>1613</v>
      </c>
      <c r="EA64" s="29" t="s">
        <v>1265</v>
      </c>
      <c r="EB64" s="413" t="str">
        <f t="shared" si="73"/>
        <v>Angara Heavy Armor</v>
      </c>
      <c r="EC64" s="409">
        <f t="shared" si="74"/>
        <v>3</v>
      </c>
      <c r="ED64" s="409">
        <f t="shared" si="75"/>
        <v>110</v>
      </c>
      <c r="EE64" s="409">
        <f t="shared" si="76"/>
        <v>2</v>
      </c>
      <c r="EF64" s="409" t="str">
        <f t="shared" si="77"/>
        <v>V; C; S; A; L</v>
      </c>
      <c r="EG64" s="409">
        <f t="shared" si="78"/>
        <v>80</v>
      </c>
      <c r="EH64" s="97">
        <f t="shared" si="79"/>
        <v>0</v>
      </c>
      <c r="EI64" s="97">
        <f t="shared" si="80"/>
        <v>0</v>
      </c>
      <c r="EJ64" s="97">
        <f t="shared" si="81"/>
        <v>0</v>
      </c>
      <c r="EK64" s="97">
        <f t="shared" si="82"/>
        <v>0</v>
      </c>
      <c r="EL64" s="97">
        <f t="shared" si="83"/>
        <v>0</v>
      </c>
      <c r="EM64" s="29"/>
      <c r="EN64" s="29"/>
      <c r="EO64" s="29"/>
      <c r="EP64" s="29"/>
      <c r="EQ64" s="29"/>
      <c r="ER64" s="29"/>
      <c r="ES64" s="29"/>
      <c r="ET64" s="29"/>
      <c r="EU64" s="29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</row>
    <row r="65" spans="1:168" ht="15.95" customHeight="1" thickBo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471"/>
      <c r="AC65" s="471"/>
      <c r="AD65" s="471"/>
      <c r="AE65" s="471"/>
      <c r="AF65" s="471"/>
      <c r="AG65" s="52"/>
      <c r="AH65" s="52"/>
      <c r="AI65" s="52"/>
      <c r="AJ65" s="52"/>
      <c r="AK65" s="52"/>
      <c r="AL65" s="29">
        <v>8</v>
      </c>
      <c r="AM65" s="376" t="str">
        <f t="shared" si="84"/>
        <v xml:space="preserve"> </v>
      </c>
      <c r="AN65" s="52"/>
      <c r="AO65" s="29" t="s">
        <v>1571</v>
      </c>
      <c r="AP65" s="388">
        <f>IF(C66=$AH$1,AW28,IF(C66=$AH$2,AW62,IF(C66=$AH$3,AW93,IF(C66=$AH$4,AW124,IF(C66=$AH$5,AW155,IF(C66=$AH$6,AW186,0))))))-IF(BJ29="Threat range +1",1,0)-IF(BK29="Threat range +1",1,0)-IF(BL29="Threat range +1",1,0)-IF(BM29="Threat range +1",1,0)-IF(N66=CS11,1,0)-IF(S66=CS11,1,0)-IF(W66=CS11,1,0)-IF(N66=CS30,1,0)-IF(S66=CS30,1,0)-IF(W66=CS30,1,0)-IF(N66=CV11,1,0)-IF(S66=CV11,1,0)-IF(W66=CV11,1,0)-IF(N66=CY12,1,0)-IF(S66=CY12,1,0)-IF(W66=CY12,1,0)-IF(N66=CY17,1,0)-IF(S66=CY17,1,0)-IF(W66=CY17,1,0)-IF(N66=DA33,1,0)-IF(S66=DA33,1,0)-IF(W66=DA33,1,0)-IF(N66=DC7,1,0)-IF(S66=DC7,1,0)-IF(W66=DC7,1,0)-IF(AB27=DS30,1,0)-IF(AB27=DS59,2,0)-IF(Z34=DW149,1,0)-IF(Z35=DW165,1,0)-IF(AND(C66=AH1,Feats!E46=1),1,0)-IF(AND(C66=AH2,Feats!E47=1),1,0)-IF(AND(C66=AH3,Feats!E48=1),1,0)-IF(AND(C66=AH4,Feats!E49=1),1,0)-IF(AND(C66=AH5,Feats!E50=1),1,0)-IF(AND(C66=AH6,Feats!E51=1),1,0)</f>
        <v>0</v>
      </c>
      <c r="AQ65" s="388" t="str">
        <f>IF(AP65&gt;=20," ",AP65&amp;"-")</f>
        <v>0-</v>
      </c>
      <c r="AR65" s="52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9"/>
      <c r="BH65" s="29"/>
      <c r="BI65" s="408"/>
      <c r="BJ65" s="409"/>
      <c r="BK65" s="408"/>
      <c r="BL65" s="408"/>
      <c r="BM65" s="408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6"/>
      <c r="CA65" s="397"/>
      <c r="CB65" s="405" t="s">
        <v>875</v>
      </c>
      <c r="CC65" s="405" t="s">
        <v>876</v>
      </c>
      <c r="CD65" s="405" t="s">
        <v>877</v>
      </c>
      <c r="CE65" s="405" t="s">
        <v>878</v>
      </c>
      <c r="CF65" s="405" t="s">
        <v>879</v>
      </c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419" t="s">
        <v>1664</v>
      </c>
      <c r="DT65" s="422">
        <v>25405</v>
      </c>
      <c r="DU65" s="420">
        <v>3</v>
      </c>
      <c r="DV65" s="420">
        <v>110</v>
      </c>
      <c r="DW65" s="420">
        <v>2</v>
      </c>
      <c r="DX65" s="420" t="s">
        <v>1159</v>
      </c>
      <c r="DY65" s="420">
        <v>80</v>
      </c>
      <c r="DZ65" s="420" t="s">
        <v>1612</v>
      </c>
      <c r="EA65" s="29" t="s">
        <v>167</v>
      </c>
      <c r="EB65" s="413" t="str">
        <f t="shared" si="73"/>
        <v>Cerberus Assault Armor</v>
      </c>
      <c r="EC65" s="409">
        <f t="shared" si="74"/>
        <v>4</v>
      </c>
      <c r="ED65" s="409">
        <f t="shared" si="75"/>
        <v>110</v>
      </c>
      <c r="EE65" s="409">
        <f t="shared" si="76"/>
        <v>0</v>
      </c>
      <c r="EF65" s="409">
        <f t="shared" si="77"/>
        <v>0</v>
      </c>
      <c r="EG65" s="409">
        <f t="shared" si="78"/>
        <v>95</v>
      </c>
      <c r="EH65" s="97">
        <f t="shared" si="79"/>
        <v>0</v>
      </c>
      <c r="EI65" s="97">
        <f t="shared" si="80"/>
        <v>0</v>
      </c>
      <c r="EJ65" s="97">
        <f t="shared" si="81"/>
        <v>0</v>
      </c>
      <c r="EK65" s="97">
        <f t="shared" si="82"/>
        <v>0</v>
      </c>
      <c r="EL65" s="97">
        <f t="shared" si="83"/>
        <v>0</v>
      </c>
      <c r="EM65" s="29"/>
      <c r="EN65" s="29"/>
      <c r="EO65" s="29"/>
      <c r="EP65" s="29"/>
      <c r="EQ65" s="29"/>
      <c r="ER65" s="29"/>
      <c r="ES65" s="29"/>
      <c r="ET65" s="29"/>
      <c r="EU65" s="29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</row>
    <row r="66" spans="1:168" ht="15.95" customHeight="1" x14ac:dyDescent="0.25">
      <c r="A66" s="539" t="s">
        <v>270</v>
      </c>
      <c r="B66" s="539"/>
      <c r="C66" s="530"/>
      <c r="D66" s="530"/>
      <c r="E66" s="530"/>
      <c r="F66" s="530"/>
      <c r="G66" s="530"/>
      <c r="H66" s="530"/>
      <c r="I66" s="530"/>
      <c r="J66" s="530"/>
      <c r="K66" s="530"/>
      <c r="L66" s="531"/>
      <c r="M66" s="531"/>
      <c r="N66" s="531"/>
      <c r="O66" s="531"/>
      <c r="P66" s="531"/>
      <c r="Q66" s="531"/>
      <c r="R66" s="531"/>
      <c r="S66" s="604"/>
      <c r="T66" s="605"/>
      <c r="U66" s="605"/>
      <c r="V66" s="606"/>
      <c r="W66" s="472"/>
      <c r="X66" s="472"/>
      <c r="Y66" s="472"/>
      <c r="Z66" s="472"/>
      <c r="AA66" s="30"/>
      <c r="AB66" s="471"/>
      <c r="AC66" s="471"/>
      <c r="AD66" s="471"/>
      <c r="AE66" s="471"/>
      <c r="AF66" s="471"/>
      <c r="AG66" s="52"/>
      <c r="AH66" s="52"/>
      <c r="AI66" s="52"/>
      <c r="AJ66" s="52"/>
      <c r="AK66" s="52"/>
      <c r="AL66" s="29">
        <v>9</v>
      </c>
      <c r="AM66" s="376" t="str">
        <f t="shared" si="84"/>
        <v xml:space="preserve"> </v>
      </c>
      <c r="AN66" s="52"/>
      <c r="AO66" s="29" t="s">
        <v>1572</v>
      </c>
      <c r="AP66" s="388">
        <f>IF(C66=$AH$1,AX28,IF(C66=$AH$2,AX62,IF(C66=$AH$3,AX93,IF(C66=$AH$4,AX124,IF(C66=$AH$5,AX155,IF(C66=$AH$6,AX186,0))))))+IF(BJ29="Multiplier +1",1,0)+IF(BK29="Multiplier +1",1,0)+IF(BL29="Multiplier +1",1,0)+IF(BM29="Multiplier +1",1,0)+IF(N66=CS22,1,0)+IF(S66=CS22,1,0)+IF(W66=CS22,1,0)+IF(AB27=DS50,1,0)+IF(AND(C66="Melee",AB27=DS69),1,0)</f>
        <v>0</v>
      </c>
      <c r="AQ66" s="36"/>
      <c r="AR66" s="52"/>
      <c r="AS66" s="233"/>
      <c r="AT66" s="375" t="s">
        <v>1534</v>
      </c>
      <c r="AU66" s="490" t="s">
        <v>467</v>
      </c>
      <c r="AV66" s="490"/>
      <c r="AW66" s="490" t="s">
        <v>1544</v>
      </c>
      <c r="AX66" s="490"/>
      <c r="AY66" s="375"/>
      <c r="AZ66" s="490" t="s">
        <v>1112</v>
      </c>
      <c r="BA66" s="490"/>
      <c r="BB66" s="375"/>
      <c r="BC66" s="491" t="s">
        <v>794</v>
      </c>
      <c r="BD66" s="375"/>
      <c r="BE66" s="490" t="s">
        <v>1001</v>
      </c>
      <c r="BF66" s="490"/>
      <c r="BG66" s="29"/>
      <c r="BH66" s="29"/>
      <c r="BI66" s="408"/>
      <c r="BJ66" s="409"/>
      <c r="BK66" s="408"/>
      <c r="BL66" s="408"/>
      <c r="BM66" s="408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6"/>
      <c r="CA66" s="397" t="s">
        <v>883</v>
      </c>
      <c r="CB66" s="480" t="s">
        <v>880</v>
      </c>
      <c r="CC66" s="480"/>
      <c r="CD66" s="480"/>
      <c r="CE66" s="480"/>
      <c r="CF66" s="480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419" t="s">
        <v>1191</v>
      </c>
      <c r="DT66" s="422">
        <v>26000</v>
      </c>
      <c r="DU66" s="420">
        <v>4</v>
      </c>
      <c r="DV66" s="420">
        <v>110</v>
      </c>
      <c r="DW66" s="420">
        <v>0</v>
      </c>
      <c r="DX66" s="420"/>
      <c r="DY66" s="420">
        <v>95</v>
      </c>
      <c r="DZ66" s="430" t="s">
        <v>1615</v>
      </c>
      <c r="EA66" s="29" t="s">
        <v>1266</v>
      </c>
      <c r="EB66" s="413" t="str">
        <f t="shared" si="73"/>
        <v>Phantom Heavy</v>
      </c>
      <c r="EC66" s="409">
        <f t="shared" si="74"/>
        <v>3</v>
      </c>
      <c r="ED66" s="409">
        <f t="shared" si="75"/>
        <v>160</v>
      </c>
      <c r="EE66" s="409">
        <f t="shared" si="76"/>
        <v>1</v>
      </c>
      <c r="EF66" s="409" t="str">
        <f t="shared" si="77"/>
        <v>V; C; L</v>
      </c>
      <c r="EG66" s="409">
        <f t="shared" si="78"/>
        <v>71</v>
      </c>
      <c r="EH66" s="97">
        <f t="shared" si="79"/>
        <v>0</v>
      </c>
      <c r="EI66" s="97">
        <f t="shared" si="80"/>
        <v>0</v>
      </c>
      <c r="EJ66" s="97">
        <f t="shared" si="81"/>
        <v>0</v>
      </c>
      <c r="EK66" s="97">
        <f t="shared" si="82"/>
        <v>0</v>
      </c>
      <c r="EL66" s="97">
        <f t="shared" si="83"/>
        <v>0</v>
      </c>
      <c r="EM66" s="29"/>
      <c r="EN66" s="29"/>
      <c r="EO66" s="29"/>
      <c r="EP66" s="29"/>
      <c r="EQ66" s="29"/>
      <c r="ER66" s="29"/>
      <c r="ES66" s="29"/>
      <c r="ET66" s="29"/>
      <c r="EU66" s="29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</row>
    <row r="67" spans="1:168" ht="15.95" customHeight="1" thickBot="1" x14ac:dyDescent="0.3">
      <c r="A67" s="226"/>
      <c r="B67" s="226"/>
      <c r="C67" s="602" t="s">
        <v>1262</v>
      </c>
      <c r="D67" s="602"/>
      <c r="E67" s="602"/>
      <c r="F67" s="602"/>
      <c r="G67" s="473" t="s">
        <v>1540</v>
      </c>
      <c r="H67" s="473"/>
      <c r="I67" s="473"/>
      <c r="J67" s="473"/>
      <c r="K67" s="473"/>
      <c r="L67" s="473" t="s">
        <v>1423</v>
      </c>
      <c r="M67" s="473"/>
      <c r="N67" s="473" t="s">
        <v>793</v>
      </c>
      <c r="O67" s="473"/>
      <c r="P67" s="473"/>
      <c r="Q67" s="473"/>
      <c r="R67" s="473"/>
      <c r="S67" s="473" t="s">
        <v>792</v>
      </c>
      <c r="T67" s="473"/>
      <c r="U67" s="473"/>
      <c r="V67" s="473"/>
      <c r="W67" s="473" t="s">
        <v>792</v>
      </c>
      <c r="X67" s="473"/>
      <c r="Y67" s="473"/>
      <c r="Z67" s="473"/>
      <c r="AA67" s="30"/>
      <c r="AB67" s="471"/>
      <c r="AC67" s="471"/>
      <c r="AD67" s="471"/>
      <c r="AE67" s="471"/>
      <c r="AF67" s="471"/>
      <c r="AG67" s="52"/>
      <c r="AH67" s="52"/>
      <c r="AI67" s="52"/>
      <c r="AJ67" s="52"/>
      <c r="AK67" s="52"/>
      <c r="AL67" s="29">
        <v>10</v>
      </c>
      <c r="AM67" s="376" t="str">
        <f t="shared" si="84"/>
        <v xml:space="preserve"> </v>
      </c>
      <c r="AN67" s="52"/>
      <c r="AO67" s="29"/>
      <c r="AP67" s="36"/>
      <c r="AQ67" s="36"/>
      <c r="AR67" s="52"/>
      <c r="AS67" s="233"/>
      <c r="AT67" s="364" t="s">
        <v>890</v>
      </c>
      <c r="AU67" s="364" t="s">
        <v>1207</v>
      </c>
      <c r="AV67" s="364" t="s">
        <v>167</v>
      </c>
      <c r="AW67" s="364" t="s">
        <v>1547</v>
      </c>
      <c r="AX67" s="364" t="s">
        <v>1548</v>
      </c>
      <c r="AY67" s="364" t="s">
        <v>1002</v>
      </c>
      <c r="AZ67" s="364" t="s">
        <v>1549</v>
      </c>
      <c r="BA67" s="364" t="s">
        <v>1550</v>
      </c>
      <c r="BB67" s="364" t="s">
        <v>190</v>
      </c>
      <c r="BC67" s="492"/>
      <c r="BD67" s="364" t="s">
        <v>692</v>
      </c>
      <c r="BE67" s="364" t="s">
        <v>1207</v>
      </c>
      <c r="BF67" s="364" t="s">
        <v>167</v>
      </c>
      <c r="BG67" s="29"/>
      <c r="BH67" s="29"/>
      <c r="BI67" s="408"/>
      <c r="BJ67" s="409"/>
      <c r="BK67" s="408"/>
      <c r="BL67" s="408"/>
      <c r="BM67" s="408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6"/>
      <c r="CA67" s="394" t="s">
        <v>818</v>
      </c>
      <c r="CB67" s="394" t="s">
        <v>847</v>
      </c>
      <c r="CC67" s="395" t="s">
        <v>1573</v>
      </c>
      <c r="CD67" s="394"/>
      <c r="CE67" s="406" t="s">
        <v>1576</v>
      </c>
      <c r="CF67" s="394" t="s">
        <v>1575</v>
      </c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419" t="s">
        <v>1665</v>
      </c>
      <c r="DT67" s="422">
        <v>27630</v>
      </c>
      <c r="DU67" s="420">
        <v>3</v>
      </c>
      <c r="DV67" s="420">
        <v>160</v>
      </c>
      <c r="DW67" s="420">
        <v>1</v>
      </c>
      <c r="DX67" s="420" t="s">
        <v>1160</v>
      </c>
      <c r="DY67" s="420">
        <v>71</v>
      </c>
      <c r="DZ67" s="420" t="s">
        <v>1614</v>
      </c>
      <c r="EA67" s="29" t="s">
        <v>885</v>
      </c>
      <c r="EB67" s="413" t="str">
        <f t="shared" si="73"/>
        <v>Rosenkov Heavy</v>
      </c>
      <c r="EC67" s="409">
        <f t="shared" si="74"/>
        <v>4</v>
      </c>
      <c r="ED67" s="409">
        <f t="shared" si="75"/>
        <v>90</v>
      </c>
      <c r="EE67" s="409">
        <f t="shared" si="76"/>
        <v>0</v>
      </c>
      <c r="EF67" s="409">
        <f t="shared" si="77"/>
        <v>0</v>
      </c>
      <c r="EG67" s="409">
        <f t="shared" si="78"/>
        <v>70</v>
      </c>
      <c r="EH67" s="97">
        <f t="shared" si="79"/>
        <v>0</v>
      </c>
      <c r="EI67" s="97">
        <f t="shared" si="80"/>
        <v>0</v>
      </c>
      <c r="EJ67" s="97">
        <f t="shared" si="81"/>
        <v>0</v>
      </c>
      <c r="EK67" s="97">
        <f t="shared" si="82"/>
        <v>0</v>
      </c>
      <c r="EL67" s="97">
        <f t="shared" si="83"/>
        <v>0</v>
      </c>
      <c r="EM67" s="29"/>
      <c r="EN67" s="29"/>
      <c r="EO67" s="29"/>
      <c r="EP67" s="29"/>
      <c r="EQ67" s="29"/>
      <c r="ER67" s="29"/>
      <c r="ES67" s="29"/>
      <c r="ET67" s="29"/>
      <c r="EU67" s="29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</row>
    <row r="68" spans="1:168" ht="15.95" customHeight="1" x14ac:dyDescent="0.25">
      <c r="A68" s="532" t="s">
        <v>423</v>
      </c>
      <c r="B68" s="532"/>
      <c r="C68" s="533"/>
      <c r="D68" s="366">
        <f>D56</f>
        <v>0</v>
      </c>
      <c r="E68" s="17"/>
      <c r="F68" s="366">
        <f>IF(Y68&gt;$B$6,(Y68-$B$6)*-1,0)</f>
        <v>0</v>
      </c>
      <c r="G68" s="17"/>
      <c r="H68" s="368"/>
      <c r="I68" s="17"/>
      <c r="J68" s="379">
        <f>IF(C66=$AH$6,$N$6,IF($B$1="Elcor",$N$12,$N$8))</f>
        <v>-5</v>
      </c>
      <c r="K68" s="17"/>
      <c r="L68" s="366">
        <f>IF(AND(C66=AH1,Feats!Q35=1),1,0)+IF(AND(C66=AH2,Feats!Q36=1),1,0)+IF(AND(C66=AH3,Feats!Q37=1),1,0)+IF(AND(C66=AH4,Feats!Q38=1),1,0)+IF(AND(C66=AH5,Feats!Q39=1),1,0)+IF(AND(C66=AH6,Feats!Q40=1),1,0)+IF(AND(C66=AH1,Feats!Q42=1),1,0)+IF(AND(C66=AH2,Feats!Q43=1),1,0)+IF(AND(C66=AH3,Feats!Q44=1),1,0)+IF(AND(C66=AH4,Feats!Q45=1),1,0)+IF(AND(C66=AH5,Feats!Q46=1),1,0)+IF(AND(C66=AH6,Feats!Q47=1),1,0)+IF(AND(C66=AH7,Feats!H46=1),IF($D$44&lt;=3,1,ROUNDDOWN($D$44/2,0)),0)</f>
        <v>0</v>
      </c>
      <c r="M68" s="17"/>
      <c r="N68" s="366">
        <f>IF($B$2="Fine",8,IF($B$2="Diminutive",4,IF($B$2="Tiny", 2,IF($B$2="Small",1,IF($B$2="Medium",0,IF($B$2="Large",-1,IF($B$2="Huge",-2,IF($B$2="Gargantuan",-4,IF($B$2="Colossal",-8,0)))))))))</f>
        <v>0</v>
      </c>
      <c r="O68" s="17"/>
      <c r="P68" s="368"/>
      <c r="Q68" s="29"/>
      <c r="R68" s="366">
        <f>AP70</f>
        <v>0</v>
      </c>
      <c r="S68" s="534"/>
      <c r="T68" s="535"/>
      <c r="U68" s="29"/>
      <c r="V68" s="30"/>
      <c r="W68" s="30"/>
      <c r="X68" s="370" t="s">
        <v>202</v>
      </c>
      <c r="Y68" s="468">
        <f>AP56</f>
        <v>0</v>
      </c>
      <c r="Z68" s="468"/>
      <c r="AA68" s="29"/>
      <c r="AB68" s="471"/>
      <c r="AC68" s="471"/>
      <c r="AD68" s="471"/>
      <c r="AE68" s="471"/>
      <c r="AF68" s="471"/>
      <c r="AG68" s="52"/>
      <c r="AH68" s="52"/>
      <c r="AI68" s="52"/>
      <c r="AJ68" s="52"/>
      <c r="AK68" s="52"/>
      <c r="AL68" s="29">
        <v>11</v>
      </c>
      <c r="AM68" s="376" t="str">
        <f t="shared" ref="AM68:AM80" si="90">IF($C$66=$AH$1,AT13,IF($C$66=$AH$2,AT47,IF($C$66=$AH$3,AT78,IF($C$66=$AH$4,AT109,IF($C$66=$AH$5,AT140,IF($C$66=$AH$6,AT171,IF($C$66=$AH$7,"Ranged Touch"," ")))))))</f>
        <v xml:space="preserve"> </v>
      </c>
      <c r="AN68" s="52"/>
      <c r="AO68" s="29"/>
      <c r="AP68" s="36" t="s">
        <v>1568</v>
      </c>
      <c r="AQ68" s="388">
        <f>IF(AND(C66=$AH$1,Feats!$Q$28=1),1,0)+IF(AND(C66=$AH$2,Feats!$Q$29=1),1,0)+IF(AND(C66=$AH$3,Feats!$Q$30=1),1,0)+IF(AND(C66=$AH$4,Feats!$Q$31=1),1,0)+IF(AND(C66=$AH$5,Feats!$Q$32=1),1,0)</f>
        <v>0</v>
      </c>
      <c r="AR68" s="52"/>
      <c r="AS68" s="29">
        <v>1</v>
      </c>
      <c r="AT68" s="234" t="s">
        <v>1020</v>
      </c>
      <c r="AU68" s="234" t="s">
        <v>719</v>
      </c>
      <c r="AV68" s="234" t="s">
        <v>796</v>
      </c>
      <c r="AW68" s="234">
        <v>20</v>
      </c>
      <c r="AX68" s="234">
        <v>2</v>
      </c>
      <c r="AY68" s="234">
        <v>14</v>
      </c>
      <c r="AZ68" s="234" t="s">
        <v>909</v>
      </c>
      <c r="BA68" s="234">
        <v>3</v>
      </c>
      <c r="BB68" s="234">
        <v>-5</v>
      </c>
      <c r="BC68" s="234">
        <v>24</v>
      </c>
      <c r="BD68" s="234">
        <v>60</v>
      </c>
      <c r="BE68" s="375">
        <f t="shared" ref="BE68:BE90" si="91">IF(BF68&lt;=4,BF68-1,IF(OR(BF68=5,BF68=6,BF68=6.5),BF68-1.5,IF(OR(BF68=7,BF68=8),BF68-2,IF(OR(BF68=9,BF68=10),BF68-2.5,IF(OR(BF68=11,BF68=12,BF68=13),BF68-3,IF(OR(BF68=14,BF68=15,BF68=16),BF68-4,IF(OR(BF68=17,BF68=18),BF68-5,IF(BF68&gt;=19,BF68-6,0))))))))</f>
        <v>10</v>
      </c>
      <c r="BF68" s="234">
        <v>14</v>
      </c>
      <c r="BG68" s="29"/>
      <c r="BH68" s="29"/>
      <c r="BI68" s="408"/>
      <c r="BJ68" s="409"/>
      <c r="BK68" s="408"/>
      <c r="BL68" s="408"/>
      <c r="BM68" s="408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6"/>
      <c r="CA68" s="394" t="s">
        <v>820</v>
      </c>
      <c r="CB68" s="394" t="s">
        <v>847</v>
      </c>
      <c r="CC68" s="395" t="s">
        <v>1573</v>
      </c>
      <c r="CD68" s="394"/>
      <c r="CE68" s="406" t="s">
        <v>1576</v>
      </c>
      <c r="CF68" s="394" t="s">
        <v>1575</v>
      </c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421" t="s">
        <v>1666</v>
      </c>
      <c r="DT68" s="422">
        <v>28485</v>
      </c>
      <c r="DU68" s="420">
        <v>4</v>
      </c>
      <c r="DV68" s="420">
        <v>90</v>
      </c>
      <c r="DW68" s="420">
        <v>0</v>
      </c>
      <c r="DX68" s="420"/>
      <c r="DY68" s="420">
        <v>70</v>
      </c>
      <c r="DZ68" s="420" t="s">
        <v>1165</v>
      </c>
      <c r="EA68" s="29" t="s">
        <v>875</v>
      </c>
      <c r="EB68" s="413" t="str">
        <f t="shared" si="73"/>
        <v>Warlord Armor</v>
      </c>
      <c r="EC68" s="409">
        <f t="shared" si="74"/>
        <v>4</v>
      </c>
      <c r="ED68" s="409">
        <f t="shared" si="75"/>
        <v>120</v>
      </c>
      <c r="EE68" s="409">
        <f t="shared" si="76"/>
        <v>0</v>
      </c>
      <c r="EF68" s="409" t="str">
        <f t="shared" si="77"/>
        <v>V; C; S; A; L</v>
      </c>
      <c r="EG68" s="409">
        <f t="shared" si="78"/>
        <v>110</v>
      </c>
      <c r="EH68" s="97">
        <f t="shared" si="79"/>
        <v>0</v>
      </c>
      <c r="EI68" s="97">
        <f t="shared" si="80"/>
        <v>0</v>
      </c>
      <c r="EJ68" s="97">
        <f t="shared" si="81"/>
        <v>0</v>
      </c>
      <c r="EK68" s="97">
        <f t="shared" si="82"/>
        <v>0</v>
      </c>
      <c r="EL68" s="97">
        <f t="shared" si="83"/>
        <v>0</v>
      </c>
      <c r="EM68" s="29"/>
      <c r="EN68" s="29"/>
      <c r="EO68" s="29"/>
      <c r="EP68" s="29"/>
      <c r="EQ68" s="29"/>
      <c r="ER68" s="29"/>
      <c r="ES68" s="29"/>
      <c r="ET68" s="29"/>
      <c r="EU68" s="29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</row>
    <row r="69" spans="1:168" ht="15.95" customHeight="1" x14ac:dyDescent="0.25">
      <c r="A69" s="29"/>
      <c r="B69" s="29"/>
      <c r="C69" s="29"/>
      <c r="D69" s="148" t="s">
        <v>72</v>
      </c>
      <c r="E69" s="149"/>
      <c r="F69" s="148" t="s">
        <v>424</v>
      </c>
      <c r="G69" s="67"/>
      <c r="H69" s="369" t="s">
        <v>97</v>
      </c>
      <c r="I69" s="67"/>
      <c r="J69" s="369" t="s">
        <v>33</v>
      </c>
      <c r="K69" s="67"/>
      <c r="L69" s="369" t="s">
        <v>73</v>
      </c>
      <c r="M69" s="67"/>
      <c r="N69" s="369" t="s">
        <v>37</v>
      </c>
      <c r="O69" s="67"/>
      <c r="P69" s="369" t="s">
        <v>38</v>
      </c>
      <c r="Q69" s="150"/>
      <c r="R69" s="603" t="s">
        <v>425</v>
      </c>
      <c r="S69" s="603"/>
      <c r="T69" s="603"/>
      <c r="U69" s="29"/>
      <c r="V69" s="30"/>
      <c r="W69" s="30"/>
      <c r="X69" s="370" t="s">
        <v>420</v>
      </c>
      <c r="Y69" s="468">
        <f t="shared" ref="Y69:Y74" si="92">AP57</f>
        <v>0</v>
      </c>
      <c r="Z69" s="468"/>
      <c r="AA69" s="30"/>
      <c r="AB69" s="471"/>
      <c r="AC69" s="471"/>
      <c r="AD69" s="471"/>
      <c r="AE69" s="471"/>
      <c r="AF69" s="471"/>
      <c r="AG69" s="52"/>
      <c r="AH69" s="52"/>
      <c r="AI69" s="52"/>
      <c r="AJ69" s="52"/>
      <c r="AK69" s="52"/>
      <c r="AL69" s="29">
        <v>12</v>
      </c>
      <c r="AM69" s="376" t="str">
        <f t="shared" si="90"/>
        <v xml:space="preserve"> </v>
      </c>
      <c r="AN69" s="52"/>
      <c r="AO69" s="390" t="s">
        <v>1567</v>
      </c>
      <c r="AP69" s="469">
        <f>IF(AQ68=1,"Yes",0)</f>
        <v>0</v>
      </c>
      <c r="AQ69" s="470"/>
      <c r="AR69" s="52"/>
      <c r="AS69" s="29">
        <v>2</v>
      </c>
      <c r="AT69" s="234" t="s">
        <v>859</v>
      </c>
      <c r="AU69" s="234" t="s">
        <v>808</v>
      </c>
      <c r="AV69" s="234" t="s">
        <v>809</v>
      </c>
      <c r="AW69" s="234">
        <v>20</v>
      </c>
      <c r="AX69" s="234">
        <v>2</v>
      </c>
      <c r="AY69" s="234">
        <v>12</v>
      </c>
      <c r="AZ69" s="234" t="s">
        <v>1551</v>
      </c>
      <c r="BA69" s="234">
        <v>1</v>
      </c>
      <c r="BB69" s="234">
        <v>-1</v>
      </c>
      <c r="BC69" s="234">
        <v>4</v>
      </c>
      <c r="BD69" s="234">
        <v>60</v>
      </c>
      <c r="BE69" s="375">
        <f t="shared" si="91"/>
        <v>4.5</v>
      </c>
      <c r="BF69" s="234">
        <v>6</v>
      </c>
      <c r="BG69" s="29"/>
      <c r="BH69" s="29"/>
      <c r="BI69" s="408"/>
      <c r="BJ69" s="409"/>
      <c r="BK69" s="408"/>
      <c r="BL69" s="408"/>
      <c r="BM69" s="408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6"/>
      <c r="CA69" s="394" t="s">
        <v>823</v>
      </c>
      <c r="CB69" s="394" t="s">
        <v>847</v>
      </c>
      <c r="CC69" s="395" t="s">
        <v>1573</v>
      </c>
      <c r="CD69" s="394"/>
      <c r="CE69" s="406" t="s">
        <v>1576</v>
      </c>
      <c r="CF69" s="394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419" t="s">
        <v>1192</v>
      </c>
      <c r="DT69" s="422">
        <v>30530</v>
      </c>
      <c r="DU69" s="420">
        <v>4</v>
      </c>
      <c r="DV69" s="420">
        <v>120</v>
      </c>
      <c r="DW69" s="420">
        <v>0</v>
      </c>
      <c r="DX69" s="420" t="s">
        <v>1159</v>
      </c>
      <c r="DY69" s="420">
        <v>110</v>
      </c>
      <c r="DZ69" s="420" t="s">
        <v>1616</v>
      </c>
      <c r="EA69" s="29" t="s">
        <v>876</v>
      </c>
      <c r="EB69" s="413" t="str">
        <f t="shared" si="73"/>
        <v>Remnant Heavy</v>
      </c>
      <c r="EC69" s="409">
        <f t="shared" si="74"/>
        <v>3</v>
      </c>
      <c r="ED69" s="409">
        <f t="shared" si="75"/>
        <v>120</v>
      </c>
      <c r="EE69" s="409">
        <f t="shared" si="76"/>
        <v>2</v>
      </c>
      <c r="EF69" s="409">
        <f t="shared" si="77"/>
        <v>0</v>
      </c>
      <c r="EG69" s="409">
        <f t="shared" si="78"/>
        <v>76</v>
      </c>
      <c r="EH69" s="97">
        <f t="shared" si="79"/>
        <v>0</v>
      </c>
      <c r="EI69" s="97">
        <f t="shared" si="80"/>
        <v>0</v>
      </c>
      <c r="EJ69" s="97">
        <f t="shared" si="81"/>
        <v>0</v>
      </c>
      <c r="EK69" s="97">
        <f t="shared" si="82"/>
        <v>0</v>
      </c>
      <c r="EL69" s="97">
        <f t="shared" si="83"/>
        <v>0</v>
      </c>
      <c r="EM69" s="29"/>
      <c r="EN69" s="29"/>
      <c r="EO69" s="29"/>
      <c r="EP69" s="29"/>
      <c r="EQ69" s="29"/>
      <c r="ER69" s="29"/>
      <c r="ES69" s="29"/>
      <c r="ET69" s="29"/>
      <c r="EU69" s="29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</row>
    <row r="70" spans="1:168" ht="15.95" customHeight="1" x14ac:dyDescent="0.25">
      <c r="A70" s="532" t="s">
        <v>426</v>
      </c>
      <c r="B70" s="532"/>
      <c r="C70" s="532"/>
      <c r="D70" s="388">
        <f>IF(Y69="Burst","N/A",IF(AP69="Yes",D68+F68+H68+J68+L68+N68+P68,D68+F68+H68+J68+L68+N68+P68+Y71+R68+S68))</f>
        <v>-5</v>
      </c>
      <c r="E70" s="30"/>
      <c r="F70" s="532" t="s">
        <v>430</v>
      </c>
      <c r="G70" s="532"/>
      <c r="H70" s="532"/>
      <c r="I70" s="532"/>
      <c r="J70" s="532"/>
      <c r="K70" s="533"/>
      <c r="L70" s="388">
        <f>IF(OR(Y69="Burst",Y69="Single Shot",Y69="Semi-Automatic"),"N/A",D68+F68+H68+J68+L68+N68+P68+IF(-1*IF(AP69="Yes",Y71,2*Y71)&gt;R68+S68,IF(AP69="Yes",Y71,2*Y71)+R68+S68,0))</f>
        <v>-5</v>
      </c>
      <c r="M70" s="30"/>
      <c r="N70" s="30"/>
      <c r="O70" s="29"/>
      <c r="P70" s="536" t="str">
        <f>AP64</f>
        <v>0-20/×0</v>
      </c>
      <c r="Q70" s="537"/>
      <c r="R70" s="537"/>
      <c r="S70" s="537"/>
      <c r="T70" s="538"/>
      <c r="U70" s="29"/>
      <c r="V70" s="30"/>
      <c r="W70" s="30"/>
      <c r="X70" s="370" t="s">
        <v>421</v>
      </c>
      <c r="Y70" s="468">
        <f>IF(AND(AP58&lt;=0,1,OR(C66=AH1,C66=AH2,C66=AH3,C66=AH4,C66=AH5)),1,AP58)</f>
        <v>0</v>
      </c>
      <c r="Z70" s="468"/>
      <c r="AA70" s="30"/>
      <c r="AB70" s="471"/>
      <c r="AC70" s="471"/>
      <c r="AD70" s="471"/>
      <c r="AE70" s="471"/>
      <c r="AF70" s="471"/>
      <c r="AG70" s="52"/>
      <c r="AH70" s="52"/>
      <c r="AI70" s="52"/>
      <c r="AJ70" s="52"/>
      <c r="AK70" s="52"/>
      <c r="AL70" s="29">
        <v>13</v>
      </c>
      <c r="AM70" s="376" t="str">
        <f t="shared" si="90"/>
        <v xml:space="preserve"> </v>
      </c>
      <c r="AN70" s="52"/>
      <c r="AO70" s="390" t="s">
        <v>777</v>
      </c>
      <c r="AP70" s="469">
        <f>IF(BJ29="Recoil penalty -1",1,0)+IF(BK29="Recoil penalty -1",1,0)+IF(BL29="Recoil penalty -1",1,0)+IF(BM29="Recoil penalty -1",1,0)+IF(N66=CS31,-2,0)+IF(S66=CS31,-2,0)+IF(W66=CS31,-2,0)+IF(N66=CV34,1,0)+IF(S66=CV34,1,0)+IF(W66=CV34,1,0)+IF(N66=CV35,2,0)+IF(S66=CV35,2,0)+IF(W66=CV35,2,0)+IF(N66=CV36,3,0)+IF(S66=CV36,3,0)+IF(W66=CV36,3,0)+IF(N66=CY30,1,0)+IF(S66=CY30,1,0)+IF(W66=CY30,1,0)+IF(N66=CY31,2,0)+IF(S66=CY31,2,0)+IF(W66=CY31,2,0)+IF(N66=CY32,2,0)+IF(S66=CY32,2,0)+IF(W66=CY32,2,0)+IF(AB27=DS23,1,0)+IF(AB27=DS52,2,0)+IF(AB27=DS77,3,0)</f>
        <v>0</v>
      </c>
      <c r="AQ70" s="470"/>
      <c r="AR70" s="52"/>
      <c r="AS70" s="29">
        <v>3</v>
      </c>
      <c r="AT70" s="234" t="s">
        <v>860</v>
      </c>
      <c r="AU70" s="234" t="s">
        <v>540</v>
      </c>
      <c r="AV70" s="234" t="s">
        <v>541</v>
      </c>
      <c r="AW70" s="234">
        <v>20</v>
      </c>
      <c r="AX70" s="234">
        <v>2</v>
      </c>
      <c r="AY70" s="234">
        <v>13</v>
      </c>
      <c r="AZ70" s="234" t="s">
        <v>909</v>
      </c>
      <c r="BA70" s="234">
        <v>4</v>
      </c>
      <c r="BB70" s="234">
        <v>-2</v>
      </c>
      <c r="BC70" s="234">
        <v>28</v>
      </c>
      <c r="BD70" s="234">
        <v>60</v>
      </c>
      <c r="BE70" s="375">
        <f t="shared" si="91"/>
        <v>7.5</v>
      </c>
      <c r="BF70" s="234">
        <v>10</v>
      </c>
      <c r="BG70" s="29"/>
      <c r="BH70" s="29"/>
      <c r="BI70" s="408"/>
      <c r="BJ70" s="409"/>
      <c r="BK70" s="408"/>
      <c r="BL70" s="408"/>
      <c r="BM70" s="408"/>
      <c r="BN70" s="233"/>
      <c r="BO70" s="233"/>
      <c r="BP70" s="233"/>
      <c r="BQ70" s="233"/>
      <c r="BR70" s="233"/>
      <c r="BS70" s="233"/>
      <c r="BT70" s="233"/>
      <c r="BU70" s="233"/>
      <c r="BV70" s="233"/>
      <c r="BW70" s="233"/>
      <c r="BX70" s="233"/>
      <c r="BY70" s="233"/>
      <c r="BZ70" s="236"/>
      <c r="CA70" s="394" t="s">
        <v>826</v>
      </c>
      <c r="CB70" s="394" t="s">
        <v>847</v>
      </c>
      <c r="CC70" s="395" t="s">
        <v>1573</v>
      </c>
      <c r="CD70" s="394"/>
      <c r="CE70" s="406" t="s">
        <v>1576</v>
      </c>
      <c r="CF70" s="394" t="s">
        <v>1575</v>
      </c>
      <c r="CG70" s="233"/>
      <c r="CH70" s="233"/>
      <c r="CI70" s="233"/>
      <c r="CJ70" s="233"/>
      <c r="CK70" s="233"/>
      <c r="CL70" s="233"/>
      <c r="CM70" s="233"/>
      <c r="CN70" s="233"/>
      <c r="CO70" s="233"/>
      <c r="CP70" s="233"/>
      <c r="CQ70" s="233"/>
      <c r="CR70" s="233"/>
      <c r="CS70" s="233"/>
      <c r="CT70" s="233"/>
      <c r="CU70" s="233"/>
      <c r="CV70" s="233"/>
      <c r="CW70" s="233"/>
      <c r="CX70" s="233"/>
      <c r="CY70" s="233"/>
      <c r="CZ70" s="233"/>
      <c r="DA70" s="233"/>
      <c r="DB70" s="233"/>
      <c r="DC70" s="233"/>
      <c r="DD70" s="233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419" t="s">
        <v>1667</v>
      </c>
      <c r="DT70" s="422">
        <v>31365</v>
      </c>
      <c r="DU70" s="420">
        <v>3</v>
      </c>
      <c r="DV70" s="420">
        <v>120</v>
      </c>
      <c r="DW70" s="420">
        <v>2</v>
      </c>
      <c r="DX70" s="420"/>
      <c r="DY70" s="420">
        <v>76</v>
      </c>
      <c r="DZ70" s="420" t="s">
        <v>1617</v>
      </c>
      <c r="EA70" s="29" t="s">
        <v>877</v>
      </c>
      <c r="EB70" s="413" t="str">
        <f t="shared" si="73"/>
        <v>Kestrel</v>
      </c>
      <c r="EC70" s="409">
        <f t="shared" si="74"/>
        <v>3</v>
      </c>
      <c r="ED70" s="409">
        <f t="shared" si="75"/>
        <v>145</v>
      </c>
      <c r="EE70" s="409">
        <f t="shared" si="76"/>
        <v>0</v>
      </c>
      <c r="EF70" s="409" t="str">
        <f t="shared" si="77"/>
        <v>V; C; S; A; L</v>
      </c>
      <c r="EG70" s="409">
        <f t="shared" si="78"/>
        <v>80</v>
      </c>
      <c r="EH70" s="97">
        <f t="shared" si="79"/>
        <v>0</v>
      </c>
      <c r="EI70" s="97">
        <f t="shared" si="80"/>
        <v>0</v>
      </c>
      <c r="EJ70" s="97">
        <f t="shared" si="81"/>
        <v>0</v>
      </c>
      <c r="EK70" s="97">
        <f t="shared" si="82"/>
        <v>0</v>
      </c>
      <c r="EL70" s="97">
        <f t="shared" si="83"/>
        <v>0</v>
      </c>
      <c r="EM70" s="29"/>
      <c r="EN70" s="29"/>
      <c r="EO70" s="29"/>
      <c r="EP70" s="29"/>
      <c r="EQ70" s="29"/>
      <c r="ER70" s="29"/>
      <c r="ES70" s="29"/>
      <c r="ET70" s="29"/>
      <c r="EU70" s="29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</row>
    <row r="71" spans="1:168" ht="15.95" customHeight="1" x14ac:dyDescent="0.25">
      <c r="A71" s="532" t="s">
        <v>427</v>
      </c>
      <c r="B71" s="532"/>
      <c r="C71" s="532"/>
      <c r="D71" s="388">
        <f>IF(OR(Y69="Burst",Y69="Single Shot"),"N/A",D68+F68+H68+J68+L68+N68+P68+IF(-1*IF(AP69="Yes",Y71,2*Y71)&gt;R68+S68,IF(AP69="Yes",Y71,2*Y71)+R68+S68,0))</f>
        <v>-5</v>
      </c>
      <c r="E71" s="30"/>
      <c r="F71" s="532" t="s">
        <v>431</v>
      </c>
      <c r="G71" s="532"/>
      <c r="H71" s="532"/>
      <c r="I71" s="532"/>
      <c r="J71" s="532"/>
      <c r="K71" s="533"/>
      <c r="L71" s="388">
        <f>IF(OR(Y69="Burst",Y69="Single Shot",Y69="Semi-Automatic"),"N/A",D68+F68+H68+J68+L68+N68+P68+IF(-2*IF(AP69="Yes",Y71,2*Y71)&gt;R68+S68,2*IF(AP69="Yes",Y71,2*Y71)+R68+S68,0))</f>
        <v>-5</v>
      </c>
      <c r="M71" s="30"/>
      <c r="N71" s="30"/>
      <c r="O71" s="29"/>
      <c r="P71" s="526" t="s">
        <v>85</v>
      </c>
      <c r="Q71" s="526"/>
      <c r="R71" s="526"/>
      <c r="S71" s="526"/>
      <c r="T71" s="526"/>
      <c r="U71" s="29"/>
      <c r="V71" s="30"/>
      <c r="W71" s="30"/>
      <c r="X71" s="370" t="s">
        <v>190</v>
      </c>
      <c r="Y71" s="468">
        <f t="shared" si="92"/>
        <v>0</v>
      </c>
      <c r="Z71" s="468"/>
      <c r="AA71" s="30"/>
      <c r="AB71" s="471"/>
      <c r="AC71" s="471"/>
      <c r="AD71" s="471"/>
      <c r="AE71" s="471"/>
      <c r="AF71" s="471"/>
      <c r="AG71" s="52"/>
      <c r="AH71" s="52"/>
      <c r="AI71" s="52"/>
      <c r="AJ71" s="52"/>
      <c r="AK71" s="52"/>
      <c r="AL71" s="29">
        <v>14</v>
      </c>
      <c r="AM71" s="376" t="str">
        <f t="shared" si="90"/>
        <v xml:space="preserve"> </v>
      </c>
      <c r="AN71" s="52"/>
      <c r="AO71" s="52"/>
      <c r="AP71" s="52"/>
      <c r="AQ71" s="52"/>
      <c r="AR71" s="52"/>
      <c r="AS71" s="29">
        <v>4</v>
      </c>
      <c r="AT71" s="234" t="s">
        <v>810</v>
      </c>
      <c r="AU71" s="234" t="s">
        <v>540</v>
      </c>
      <c r="AV71" s="234" t="s">
        <v>541</v>
      </c>
      <c r="AW71" s="234">
        <v>20</v>
      </c>
      <c r="AX71" s="234">
        <v>3</v>
      </c>
      <c r="AY71" s="234">
        <v>13</v>
      </c>
      <c r="AZ71" s="234" t="s">
        <v>909</v>
      </c>
      <c r="BA71" s="234">
        <v>8</v>
      </c>
      <c r="BB71" s="234">
        <v>-2</v>
      </c>
      <c r="BC71" s="234">
        <v>80</v>
      </c>
      <c r="BD71" s="234">
        <v>60</v>
      </c>
      <c r="BE71" s="375">
        <f t="shared" si="91"/>
        <v>6</v>
      </c>
      <c r="BF71" s="234">
        <v>8</v>
      </c>
      <c r="BG71" s="29"/>
      <c r="BH71" s="29"/>
      <c r="BI71" s="408"/>
      <c r="BJ71" s="409"/>
      <c r="BK71" s="408"/>
      <c r="BL71" s="408"/>
      <c r="BM71" s="408"/>
      <c r="BN71" s="233"/>
      <c r="BO71" s="233"/>
      <c r="BP71" s="233"/>
      <c r="BQ71" s="233"/>
      <c r="BR71" s="233"/>
      <c r="BS71" s="233"/>
      <c r="BT71" s="233"/>
      <c r="BU71" s="233"/>
      <c r="BV71" s="233"/>
      <c r="BW71" s="233"/>
      <c r="BX71" s="233"/>
      <c r="BY71" s="233"/>
      <c r="BZ71" s="236"/>
      <c r="CA71" s="394" t="s">
        <v>831</v>
      </c>
      <c r="CB71" s="394" t="s">
        <v>847</v>
      </c>
      <c r="CC71" s="395" t="s">
        <v>1573</v>
      </c>
      <c r="CD71" s="394"/>
      <c r="CE71" s="406" t="s">
        <v>1576</v>
      </c>
      <c r="CF71" s="394" t="s">
        <v>1575</v>
      </c>
      <c r="CG71" s="233"/>
      <c r="CH71" s="233"/>
      <c r="CI71" s="233"/>
      <c r="CJ71" s="233"/>
      <c r="CK71" s="233"/>
      <c r="CL71" s="233"/>
      <c r="CM71" s="233"/>
      <c r="CN71" s="233"/>
      <c r="CO71" s="233"/>
      <c r="CP71" s="233"/>
      <c r="CQ71" s="233"/>
      <c r="CR71" s="233"/>
      <c r="CS71" s="233"/>
      <c r="CT71" s="233"/>
      <c r="CU71" s="233"/>
      <c r="CV71" s="233"/>
      <c r="CW71" s="233"/>
      <c r="CX71" s="233"/>
      <c r="CY71" s="233"/>
      <c r="CZ71" s="233"/>
      <c r="DA71" s="233"/>
      <c r="DB71" s="233"/>
      <c r="DC71" s="233"/>
      <c r="DD71" s="233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419" t="s">
        <v>1183</v>
      </c>
      <c r="DT71" s="422">
        <v>33155</v>
      </c>
      <c r="DU71" s="420">
        <v>3</v>
      </c>
      <c r="DV71" s="420">
        <v>145</v>
      </c>
      <c r="DW71" s="420">
        <v>0</v>
      </c>
      <c r="DX71" s="420" t="s">
        <v>1159</v>
      </c>
      <c r="DY71" s="420">
        <v>80</v>
      </c>
      <c r="DZ71" s="420" t="s">
        <v>1618</v>
      </c>
      <c r="EA71" s="29" t="s">
        <v>878</v>
      </c>
      <c r="EB71" s="413" t="str">
        <f t="shared" si="73"/>
        <v>N7 Armor Heavy</v>
      </c>
      <c r="EC71" s="409">
        <f t="shared" si="74"/>
        <v>4</v>
      </c>
      <c r="ED71" s="409">
        <f t="shared" si="75"/>
        <v>130</v>
      </c>
      <c r="EE71" s="409">
        <f t="shared" si="76"/>
        <v>0</v>
      </c>
      <c r="EF71" s="409" t="str">
        <f t="shared" si="77"/>
        <v>V; C; S; A; L</v>
      </c>
      <c r="EG71" s="409">
        <f t="shared" si="78"/>
        <v>70</v>
      </c>
      <c r="EH71" s="97">
        <f t="shared" si="79"/>
        <v>0</v>
      </c>
      <c r="EI71" s="97">
        <f t="shared" si="80"/>
        <v>0</v>
      </c>
      <c r="EJ71" s="97">
        <f t="shared" si="81"/>
        <v>0</v>
      </c>
      <c r="EK71" s="97">
        <f t="shared" si="82"/>
        <v>0</v>
      </c>
      <c r="EL71" s="97">
        <f t="shared" si="83"/>
        <v>0</v>
      </c>
      <c r="EM71" s="29"/>
      <c r="EN71" s="29"/>
      <c r="EO71" s="29"/>
      <c r="EP71" s="29"/>
      <c r="EQ71" s="29"/>
      <c r="ER71" s="29"/>
      <c r="ES71" s="29"/>
      <c r="ET71" s="29"/>
      <c r="EU71" s="29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</row>
    <row r="72" spans="1:168" ht="15.95" customHeight="1" x14ac:dyDescent="0.25">
      <c r="A72" s="532" t="s">
        <v>428</v>
      </c>
      <c r="B72" s="532"/>
      <c r="C72" s="532"/>
      <c r="D72" s="388">
        <f>IF(Y69="Single Shot","N/A",D68+F68+H68+J68+L68+N68+P68+IF(-1*IF(AP69="Yes",Y71,2*Y71)&gt;R68+S68,IF(AP69="Yes",Y71,2*Y71)+R68+S68,0))</f>
        <v>-5</v>
      </c>
      <c r="E72" s="30"/>
      <c r="F72" s="532" t="s">
        <v>432</v>
      </c>
      <c r="G72" s="532"/>
      <c r="H72" s="532"/>
      <c r="I72" s="532"/>
      <c r="J72" s="532"/>
      <c r="K72" s="533"/>
      <c r="L72" s="388">
        <f>IF(OR(Y69="Burst",Y69="Single Shot",Y69="Semi-Automatic"),"N/A",D68+F68+H68+J68+L68+N68+P68+IF(-3*IF(AP69="Yes",Y71,2*Y71)&gt;R68+S68,3*IF(AP69="Yes",Y71,2*Y71)+R68+S68,0))</f>
        <v>-5</v>
      </c>
      <c r="M72" s="30"/>
      <c r="N72" s="30"/>
      <c r="O72" s="29"/>
      <c r="P72" s="525"/>
      <c r="Q72" s="525"/>
      <c r="R72" s="525"/>
      <c r="S72" s="525"/>
      <c r="T72" s="525"/>
      <c r="U72" s="525"/>
      <c r="V72" s="525"/>
      <c r="W72" s="30"/>
      <c r="X72" s="370" t="s">
        <v>191</v>
      </c>
      <c r="Y72" s="468">
        <f t="shared" si="92"/>
        <v>0</v>
      </c>
      <c r="Z72" s="468"/>
      <c r="AA72" s="30"/>
      <c r="AB72" s="471"/>
      <c r="AC72" s="471"/>
      <c r="AD72" s="471"/>
      <c r="AE72" s="471"/>
      <c r="AF72" s="471"/>
      <c r="AG72" s="52"/>
      <c r="AH72" s="52"/>
      <c r="AI72" s="52"/>
      <c r="AJ72" s="52"/>
      <c r="AK72" s="52"/>
      <c r="AL72" s="29">
        <v>15</v>
      </c>
      <c r="AM72" s="376" t="str">
        <f t="shared" si="90"/>
        <v xml:space="preserve"> </v>
      </c>
      <c r="AN72" s="52"/>
      <c r="AO72" s="52"/>
      <c r="AP72" s="52"/>
      <c r="AQ72" s="52"/>
      <c r="AR72" s="52"/>
      <c r="AS72" s="29">
        <v>5</v>
      </c>
      <c r="AT72" s="234" t="s">
        <v>811</v>
      </c>
      <c r="AU72" s="234" t="s">
        <v>540</v>
      </c>
      <c r="AV72" s="234" t="s">
        <v>541</v>
      </c>
      <c r="AW72" s="234">
        <v>20</v>
      </c>
      <c r="AX72" s="234">
        <v>2</v>
      </c>
      <c r="AY72" s="234">
        <v>11</v>
      </c>
      <c r="AZ72" s="234" t="s">
        <v>909</v>
      </c>
      <c r="BA72" s="234">
        <v>4</v>
      </c>
      <c r="BB72" s="234">
        <v>-3</v>
      </c>
      <c r="BC72" s="234">
        <v>30</v>
      </c>
      <c r="BD72" s="234">
        <v>60</v>
      </c>
      <c r="BE72" s="375">
        <f t="shared" si="91"/>
        <v>5</v>
      </c>
      <c r="BF72" s="234">
        <v>7</v>
      </c>
      <c r="BG72" s="29"/>
      <c r="BH72" s="29"/>
      <c r="BI72" s="408"/>
      <c r="BJ72" s="409"/>
      <c r="BK72" s="408"/>
      <c r="BL72" s="408"/>
      <c r="BM72" s="408"/>
      <c r="BN72" s="233"/>
      <c r="BO72" s="233"/>
      <c r="BP72" s="233"/>
      <c r="BQ72" s="233"/>
      <c r="BR72" s="233"/>
      <c r="BS72" s="233"/>
      <c r="BT72" s="233"/>
      <c r="BU72" s="233"/>
      <c r="BV72" s="233"/>
      <c r="BW72" s="233"/>
      <c r="BX72" s="233"/>
      <c r="BY72" s="233"/>
      <c r="BZ72" s="236"/>
      <c r="CA72" s="394" t="s">
        <v>832</v>
      </c>
      <c r="CB72" s="394" t="s">
        <v>847</v>
      </c>
      <c r="CC72" s="395" t="s">
        <v>1573</v>
      </c>
      <c r="CD72" s="394"/>
      <c r="CE72" s="406" t="s">
        <v>1576</v>
      </c>
      <c r="CF72" s="394" t="s">
        <v>1575</v>
      </c>
      <c r="CG72" s="233"/>
      <c r="CH72" s="233"/>
      <c r="CI72" s="233"/>
      <c r="CJ72" s="233"/>
      <c r="CK72" s="233"/>
      <c r="CL72" s="233"/>
      <c r="CM72" s="233"/>
      <c r="CN72" s="233"/>
      <c r="CO72" s="233"/>
      <c r="CP72" s="233"/>
      <c r="CQ72" s="233"/>
      <c r="CR72" s="233"/>
      <c r="CS72" s="233"/>
      <c r="CT72" s="233"/>
      <c r="CU72" s="233"/>
      <c r="CV72" s="233"/>
      <c r="CW72" s="233"/>
      <c r="CX72" s="233"/>
      <c r="CY72" s="233"/>
      <c r="CZ72" s="233"/>
      <c r="DA72" s="233"/>
      <c r="DB72" s="233"/>
      <c r="DC72" s="233"/>
      <c r="DD72" s="233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419" t="s">
        <v>1668</v>
      </c>
      <c r="DT72" s="422">
        <v>36860</v>
      </c>
      <c r="DU72" s="420">
        <v>4</v>
      </c>
      <c r="DV72" s="420">
        <v>130</v>
      </c>
      <c r="DW72" s="420">
        <v>0</v>
      </c>
      <c r="DX72" s="420" t="s">
        <v>1159</v>
      </c>
      <c r="DY72" s="420">
        <v>70</v>
      </c>
      <c r="DZ72" s="420" t="s">
        <v>1619</v>
      </c>
      <c r="EA72" s="29" t="s">
        <v>879</v>
      </c>
      <c r="EB72" s="413" t="str">
        <f t="shared" si="73"/>
        <v>Vohrtix Heavy</v>
      </c>
      <c r="EC72" s="409">
        <f t="shared" si="74"/>
        <v>5</v>
      </c>
      <c r="ED72" s="409">
        <f t="shared" si="75"/>
        <v>115</v>
      </c>
      <c r="EE72" s="409">
        <f t="shared" si="76"/>
        <v>0</v>
      </c>
      <c r="EF72" s="409">
        <f t="shared" si="77"/>
        <v>0</v>
      </c>
      <c r="EG72" s="409">
        <f t="shared" si="78"/>
        <v>90</v>
      </c>
      <c r="EH72" s="97">
        <f t="shared" ref="EH72:EH77" si="93">IF($AB$27=EB72,EC72,0)</f>
        <v>0</v>
      </c>
      <c r="EI72" s="97">
        <f t="shared" ref="EI72:EI77" si="94">IF($AB$27=EB72,ED72,0)</f>
        <v>0</v>
      </c>
      <c r="EJ72" s="97">
        <f t="shared" ref="EJ72:EJ77" si="95">IF($AB$27=EB72,EE72,0)</f>
        <v>0</v>
      </c>
      <c r="EK72" s="97">
        <f t="shared" ref="EK72:EK77" si="96">IF($AB$27=EB72,EF72,0)</f>
        <v>0</v>
      </c>
      <c r="EL72" s="97">
        <f t="shared" ref="EL72:EL77" si="97">IF($AB$27=EB72,EG72,0)</f>
        <v>0</v>
      </c>
      <c r="EM72" s="29"/>
      <c r="EN72" s="29"/>
      <c r="EO72" s="29"/>
      <c r="EP72" s="29"/>
      <c r="EQ72" s="29"/>
      <c r="ER72" s="29"/>
      <c r="ES72" s="29"/>
      <c r="ET72" s="29"/>
      <c r="EU72" s="29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</row>
    <row r="73" spans="1:168" ht="15.95" customHeight="1" x14ac:dyDescent="0.25">
      <c r="A73" s="532" t="s">
        <v>429</v>
      </c>
      <c r="B73" s="532"/>
      <c r="C73" s="532"/>
      <c r="D73" s="388">
        <f>IF(Y69="Single Shot","N/A",D68+F68+H68+J68+L68+N68+P68+IF(-2*IF(AP69="Yes",Y71,2*Y71)&gt;R68+S68,2*IF(AP69="Yes",Y71,2*Y71)+R68+S68,0))</f>
        <v>-5</v>
      </c>
      <c r="E73" s="30"/>
      <c r="F73" s="30"/>
      <c r="G73" s="30"/>
      <c r="H73" s="30"/>
      <c r="I73" s="30"/>
      <c r="J73" s="30"/>
      <c r="K73" s="528" t="s">
        <v>433</v>
      </c>
      <c r="L73" s="528"/>
      <c r="M73" s="528"/>
      <c r="N73" s="30"/>
      <c r="O73" s="29"/>
      <c r="P73" s="525"/>
      <c r="Q73" s="525"/>
      <c r="R73" s="525"/>
      <c r="S73" s="525"/>
      <c r="T73" s="525"/>
      <c r="U73" s="525"/>
      <c r="V73" s="525"/>
      <c r="W73" s="30"/>
      <c r="X73" s="370" t="s">
        <v>583</v>
      </c>
      <c r="Y73" s="468">
        <f t="shared" si="92"/>
        <v>0</v>
      </c>
      <c r="Z73" s="468"/>
      <c r="AA73" s="30"/>
      <c r="AB73" s="471"/>
      <c r="AC73" s="471"/>
      <c r="AD73" s="471"/>
      <c r="AE73" s="471"/>
      <c r="AF73" s="471"/>
      <c r="AG73" s="52"/>
      <c r="AH73" s="52"/>
      <c r="AI73" s="52"/>
      <c r="AJ73" s="52"/>
      <c r="AK73" s="52"/>
      <c r="AL73" s="29">
        <v>16</v>
      </c>
      <c r="AM73" s="376" t="str">
        <f t="shared" si="90"/>
        <v xml:space="preserve"> </v>
      </c>
      <c r="AN73" s="52"/>
      <c r="AO73" s="52"/>
      <c r="AP73" s="52"/>
      <c r="AQ73" s="52"/>
      <c r="AR73" s="52"/>
      <c r="AS73" s="29">
        <v>6</v>
      </c>
      <c r="AT73" s="234" t="s">
        <v>812</v>
      </c>
      <c r="AU73" s="234" t="s">
        <v>799</v>
      </c>
      <c r="AV73" s="234" t="s">
        <v>509</v>
      </c>
      <c r="AW73" s="234">
        <v>20</v>
      </c>
      <c r="AX73" s="234">
        <v>2</v>
      </c>
      <c r="AY73" s="234">
        <v>11</v>
      </c>
      <c r="AZ73" s="234" t="s">
        <v>434</v>
      </c>
      <c r="BA73" s="234">
        <v>3</v>
      </c>
      <c r="BB73" s="234">
        <v>-4</v>
      </c>
      <c r="BC73" s="234">
        <v>24</v>
      </c>
      <c r="BD73" s="234">
        <v>70</v>
      </c>
      <c r="BE73" s="375">
        <f t="shared" si="91"/>
        <v>5</v>
      </c>
      <c r="BF73" s="234">
        <v>7</v>
      </c>
      <c r="BG73" s="29"/>
      <c r="BH73" s="29"/>
      <c r="BI73" s="408"/>
      <c r="BJ73" s="409"/>
      <c r="BK73" s="408"/>
      <c r="BL73" s="408"/>
      <c r="BM73" s="408"/>
      <c r="BN73" s="233"/>
      <c r="BO73" s="233"/>
      <c r="BP73" s="233"/>
      <c r="BQ73" s="233"/>
      <c r="BR73" s="233"/>
      <c r="BS73" s="233"/>
      <c r="BT73" s="233"/>
      <c r="BU73" s="233"/>
      <c r="BV73" s="233"/>
      <c r="BW73" s="233"/>
      <c r="BX73" s="233"/>
      <c r="BY73" s="233"/>
      <c r="BZ73" s="236"/>
      <c r="CA73" s="394" t="s">
        <v>833</v>
      </c>
      <c r="CB73" s="394" t="s">
        <v>847</v>
      </c>
      <c r="CC73" s="395" t="s">
        <v>1573</v>
      </c>
      <c r="CD73" s="394"/>
      <c r="CE73" s="406" t="s">
        <v>1576</v>
      </c>
      <c r="CF73" s="394" t="s">
        <v>1575</v>
      </c>
      <c r="CG73" s="233"/>
      <c r="CH73" s="233"/>
      <c r="CI73" s="233"/>
      <c r="CJ73" s="233"/>
      <c r="CK73" s="233"/>
      <c r="CL73" s="233"/>
      <c r="CM73" s="233"/>
      <c r="CN73" s="233"/>
      <c r="CO73" s="233"/>
      <c r="CP73" s="233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233"/>
      <c r="DB73" s="233"/>
      <c r="DC73" s="233"/>
      <c r="DD73" s="233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421" t="s">
        <v>1669</v>
      </c>
      <c r="DT73" s="422">
        <v>37160</v>
      </c>
      <c r="DU73" s="420">
        <v>5</v>
      </c>
      <c r="DV73" s="420">
        <v>115</v>
      </c>
      <c r="DW73" s="420">
        <v>0</v>
      </c>
      <c r="DX73" s="420"/>
      <c r="DY73" s="420">
        <v>90</v>
      </c>
      <c r="DZ73" s="420" t="s">
        <v>1184</v>
      </c>
      <c r="EA73" s="29"/>
      <c r="EB73" s="413" t="str">
        <f t="shared" si="73"/>
        <v>HyperGuardian Heavy</v>
      </c>
      <c r="EC73" s="409">
        <f t="shared" si="74"/>
        <v>5</v>
      </c>
      <c r="ED73" s="409">
        <f t="shared" si="75"/>
        <v>90</v>
      </c>
      <c r="EE73" s="409">
        <f t="shared" si="76"/>
        <v>1</v>
      </c>
      <c r="EF73" s="409">
        <f t="shared" si="77"/>
        <v>0</v>
      </c>
      <c r="EG73" s="409">
        <f t="shared" si="78"/>
        <v>70</v>
      </c>
      <c r="EH73" s="97">
        <f t="shared" si="93"/>
        <v>0</v>
      </c>
      <c r="EI73" s="97">
        <f t="shared" si="94"/>
        <v>0</v>
      </c>
      <c r="EJ73" s="97">
        <f t="shared" si="95"/>
        <v>0</v>
      </c>
      <c r="EK73" s="97">
        <f t="shared" si="96"/>
        <v>0</v>
      </c>
      <c r="EL73" s="97">
        <f t="shared" si="97"/>
        <v>0</v>
      </c>
      <c r="EM73" s="29"/>
      <c r="EN73" s="29"/>
      <c r="EO73" s="29"/>
      <c r="EP73" s="29"/>
      <c r="EQ73" s="29"/>
      <c r="ER73" s="29"/>
      <c r="ES73" s="29"/>
      <c r="ET73" s="29"/>
      <c r="EU73" s="29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</row>
    <row r="74" spans="1:168" ht="15.95" customHeight="1" x14ac:dyDescent="0.25">
      <c r="A74" s="30"/>
      <c r="B74" s="30"/>
      <c r="C74" s="528" t="s">
        <v>433</v>
      </c>
      <c r="D74" s="528"/>
      <c r="E74" s="528"/>
      <c r="F74" s="30"/>
      <c r="G74" s="30"/>
      <c r="H74" s="30"/>
      <c r="I74" s="30"/>
      <c r="J74" s="30"/>
      <c r="K74" s="30"/>
      <c r="L74" s="30"/>
      <c r="M74" s="30"/>
      <c r="N74" s="30"/>
      <c r="O74" s="29"/>
      <c r="P74" s="525"/>
      <c r="Q74" s="525"/>
      <c r="R74" s="525"/>
      <c r="S74" s="525"/>
      <c r="T74" s="525"/>
      <c r="U74" s="525"/>
      <c r="V74" s="525"/>
      <c r="W74" s="30"/>
      <c r="X74" s="370" t="s">
        <v>771</v>
      </c>
      <c r="Y74" s="468">
        <f t="shared" si="92"/>
        <v>0</v>
      </c>
      <c r="Z74" s="468"/>
      <c r="AA74" s="30"/>
      <c r="AB74" s="471"/>
      <c r="AC74" s="471"/>
      <c r="AD74" s="471"/>
      <c r="AE74" s="471"/>
      <c r="AF74" s="471"/>
      <c r="AG74" s="52"/>
      <c r="AH74" s="52"/>
      <c r="AI74" s="52"/>
      <c r="AJ74" s="52"/>
      <c r="AK74" s="52"/>
      <c r="AL74" s="29">
        <v>17</v>
      </c>
      <c r="AM74" s="376" t="str">
        <f t="shared" si="90"/>
        <v xml:space="preserve"> </v>
      </c>
      <c r="AN74" s="52"/>
      <c r="AO74" s="52"/>
      <c r="AP74" s="52"/>
      <c r="AQ74" s="52"/>
      <c r="AR74" s="52"/>
      <c r="AS74" s="29">
        <v>7</v>
      </c>
      <c r="AT74" s="234" t="s">
        <v>861</v>
      </c>
      <c r="AU74" s="234" t="s">
        <v>801</v>
      </c>
      <c r="AV74" s="234" t="s">
        <v>510</v>
      </c>
      <c r="AW74" s="234">
        <v>20</v>
      </c>
      <c r="AX74" s="234">
        <v>3</v>
      </c>
      <c r="AY74" s="234">
        <v>14</v>
      </c>
      <c r="AZ74" s="234" t="s">
        <v>909</v>
      </c>
      <c r="BA74" s="234">
        <v>1</v>
      </c>
      <c r="BB74" s="234">
        <v>-3</v>
      </c>
      <c r="BC74" s="234">
        <v>4</v>
      </c>
      <c r="BD74" s="234">
        <v>60</v>
      </c>
      <c r="BE74" s="375">
        <f t="shared" si="91"/>
        <v>5</v>
      </c>
      <c r="BF74" s="234">
        <v>7</v>
      </c>
      <c r="BG74" s="29"/>
      <c r="BH74" s="29"/>
      <c r="BI74" s="408"/>
      <c r="BJ74" s="409"/>
      <c r="BK74" s="408"/>
      <c r="BL74" s="408"/>
      <c r="BM74" s="408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3"/>
      <c r="BY74" s="233"/>
      <c r="BZ74" s="236"/>
      <c r="CA74" s="394" t="s">
        <v>830</v>
      </c>
      <c r="CB74" s="394" t="s">
        <v>847</v>
      </c>
      <c r="CC74" s="395" t="s">
        <v>1573</v>
      </c>
      <c r="CD74" s="394"/>
      <c r="CE74" s="406" t="s">
        <v>1576</v>
      </c>
      <c r="CF74" s="394" t="s">
        <v>1575</v>
      </c>
      <c r="CG74" s="233"/>
      <c r="CH74" s="233"/>
      <c r="CI74" s="233"/>
      <c r="CJ74" s="233"/>
      <c r="CK74" s="233"/>
      <c r="CL74" s="233"/>
      <c r="CM74" s="233"/>
      <c r="CN74" s="233"/>
      <c r="CO74" s="233"/>
      <c r="CP74" s="233"/>
      <c r="CQ74" s="233"/>
      <c r="CR74" s="233"/>
      <c r="CS74" s="233"/>
      <c r="CT74" s="233"/>
      <c r="CU74" s="233"/>
      <c r="CV74" s="233"/>
      <c r="CW74" s="233"/>
      <c r="CX74" s="233"/>
      <c r="CY74" s="233"/>
      <c r="CZ74" s="233"/>
      <c r="DA74" s="233"/>
      <c r="DB74" s="233"/>
      <c r="DC74" s="233"/>
      <c r="DD74" s="233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419" t="s">
        <v>1670</v>
      </c>
      <c r="DT74" s="422">
        <v>41480</v>
      </c>
      <c r="DU74" s="420">
        <v>5</v>
      </c>
      <c r="DV74" s="420">
        <v>90</v>
      </c>
      <c r="DW74" s="420">
        <v>1</v>
      </c>
      <c r="DX74" s="420"/>
      <c r="DY74" s="420">
        <v>70</v>
      </c>
      <c r="DZ74" s="429" t="s">
        <v>1748</v>
      </c>
      <c r="EA74" s="29"/>
      <c r="EB74" s="413" t="str">
        <f t="shared" si="73"/>
        <v>N7 Defender</v>
      </c>
      <c r="EC74" s="409">
        <f t="shared" si="74"/>
        <v>4</v>
      </c>
      <c r="ED74" s="409">
        <f t="shared" si="75"/>
        <v>120</v>
      </c>
      <c r="EE74" s="409">
        <f t="shared" si="76"/>
        <v>0</v>
      </c>
      <c r="EF74" s="409">
        <f t="shared" si="77"/>
        <v>0</v>
      </c>
      <c r="EG74" s="409">
        <f t="shared" si="78"/>
        <v>80</v>
      </c>
      <c r="EH74" s="97">
        <f t="shared" si="93"/>
        <v>0</v>
      </c>
      <c r="EI74" s="97">
        <f t="shared" si="94"/>
        <v>0</v>
      </c>
      <c r="EJ74" s="97">
        <f t="shared" si="95"/>
        <v>0</v>
      </c>
      <c r="EK74" s="97">
        <f t="shared" si="96"/>
        <v>0</v>
      </c>
      <c r="EL74" s="97">
        <f t="shared" si="97"/>
        <v>0</v>
      </c>
      <c r="EM74" s="29"/>
      <c r="EN74" s="29"/>
      <c r="EO74" s="29"/>
      <c r="EP74" s="29"/>
      <c r="EQ74" s="29"/>
      <c r="ER74" s="29"/>
      <c r="ES74" s="29"/>
      <c r="ET74" s="29"/>
      <c r="EU74" s="29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</row>
    <row r="75" spans="1:168" ht="15.95" customHeight="1" x14ac:dyDescent="0.25">
      <c r="A75" s="501" t="s">
        <v>201</v>
      </c>
      <c r="B75" s="501"/>
      <c r="C75" s="501"/>
      <c r="D75" s="468">
        <f>AP63</f>
        <v>0</v>
      </c>
      <c r="E75" s="468"/>
      <c r="F75" s="468"/>
      <c r="G75" s="367" t="s">
        <v>7</v>
      </c>
      <c r="H75" s="525"/>
      <c r="I75" s="525"/>
      <c r="J75" s="525"/>
      <c r="K75" s="367" t="s">
        <v>7</v>
      </c>
      <c r="L75" s="543"/>
      <c r="M75" s="543"/>
      <c r="N75" s="543"/>
      <c r="O75" s="29"/>
      <c r="P75" s="526" t="s">
        <v>86</v>
      </c>
      <c r="Q75" s="526"/>
      <c r="R75" s="526"/>
      <c r="S75" s="526"/>
      <c r="T75" s="526"/>
      <c r="U75" s="526"/>
      <c r="V75" s="526"/>
      <c r="W75" s="29"/>
      <c r="X75" s="29"/>
      <c r="Y75" s="29"/>
      <c r="Z75" s="29"/>
      <c r="AA75" s="30"/>
      <c r="AB75" s="471"/>
      <c r="AC75" s="471"/>
      <c r="AD75" s="471"/>
      <c r="AE75" s="471"/>
      <c r="AF75" s="471"/>
      <c r="AG75" s="52"/>
      <c r="AH75" s="52"/>
      <c r="AI75" s="52"/>
      <c r="AJ75" s="52"/>
      <c r="AK75" s="52"/>
      <c r="AL75" s="29">
        <v>18</v>
      </c>
      <c r="AM75" s="376" t="str">
        <f t="shared" si="90"/>
        <v xml:space="preserve"> </v>
      </c>
      <c r="AN75" s="52"/>
      <c r="AO75" s="52"/>
      <c r="AP75" s="52"/>
      <c r="AQ75" s="52"/>
      <c r="AR75" s="52"/>
      <c r="AS75" s="29">
        <v>8</v>
      </c>
      <c r="AT75" s="234" t="s">
        <v>863</v>
      </c>
      <c r="AU75" s="234" t="s">
        <v>719</v>
      </c>
      <c r="AV75" s="234" t="s">
        <v>796</v>
      </c>
      <c r="AW75" s="234">
        <v>20</v>
      </c>
      <c r="AX75" s="234">
        <v>2</v>
      </c>
      <c r="AY75" s="234">
        <v>14</v>
      </c>
      <c r="AZ75" s="234" t="s">
        <v>434</v>
      </c>
      <c r="BA75" s="234">
        <v>3</v>
      </c>
      <c r="BB75" s="234">
        <v>-3</v>
      </c>
      <c r="BC75" s="234">
        <v>21</v>
      </c>
      <c r="BD75" s="234">
        <v>70</v>
      </c>
      <c r="BE75" s="375">
        <f t="shared" si="91"/>
        <v>6</v>
      </c>
      <c r="BF75" s="234">
        <v>8</v>
      </c>
      <c r="BG75" s="29"/>
      <c r="BH75" s="29"/>
      <c r="BI75" s="408"/>
      <c r="BJ75" s="409"/>
      <c r="BK75" s="408"/>
      <c r="BL75" s="408"/>
      <c r="BM75" s="408"/>
      <c r="BN75" s="233"/>
      <c r="BO75" s="233"/>
      <c r="BP75" s="233"/>
      <c r="BQ75" s="233"/>
      <c r="BR75" s="233"/>
      <c r="BS75" s="233"/>
      <c r="BT75" s="233"/>
      <c r="BU75" s="233"/>
      <c r="BV75" s="233"/>
      <c r="BW75" s="233"/>
      <c r="BX75" s="233"/>
      <c r="BY75" s="233"/>
      <c r="BZ75" s="236"/>
      <c r="CA75" s="394" t="s">
        <v>829</v>
      </c>
      <c r="CB75" s="394" t="s">
        <v>847</v>
      </c>
      <c r="CC75" s="395" t="s">
        <v>1573</v>
      </c>
      <c r="CD75" s="394"/>
      <c r="CE75" s="406" t="s">
        <v>1576</v>
      </c>
      <c r="CF75" s="394" t="s">
        <v>1575</v>
      </c>
      <c r="CG75" s="233"/>
      <c r="CH75" s="233"/>
      <c r="CI75" s="233"/>
      <c r="CJ75" s="233"/>
      <c r="CK75" s="233"/>
      <c r="CL75" s="233"/>
      <c r="CM75" s="233"/>
      <c r="CN75" s="233"/>
      <c r="CO75" s="233"/>
      <c r="CP75" s="233"/>
      <c r="CQ75" s="233"/>
      <c r="CR75" s="233"/>
      <c r="CS75" s="233"/>
      <c r="CT75" s="233"/>
      <c r="CU75" s="233"/>
      <c r="CV75" s="233"/>
      <c r="CW75" s="233"/>
      <c r="CX75" s="233"/>
      <c r="CY75" s="233"/>
      <c r="CZ75" s="233"/>
      <c r="DA75" s="233"/>
      <c r="DB75" s="233"/>
      <c r="DC75" s="233"/>
      <c r="DD75" s="233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419" t="s">
        <v>1193</v>
      </c>
      <c r="DT75" s="422">
        <v>47455</v>
      </c>
      <c r="DU75" s="420">
        <v>4</v>
      </c>
      <c r="DV75" s="420">
        <v>120</v>
      </c>
      <c r="DW75" s="420">
        <v>0</v>
      </c>
      <c r="DX75" s="420"/>
      <c r="DY75" s="420">
        <v>80</v>
      </c>
      <c r="DZ75" s="429" t="s">
        <v>1620</v>
      </c>
      <c r="EA75" s="29"/>
      <c r="EB75" s="413" t="str">
        <f t="shared" si="73"/>
        <v>Colossus Heavy</v>
      </c>
      <c r="EC75" s="409">
        <f t="shared" si="74"/>
        <v>5</v>
      </c>
      <c r="ED75" s="409">
        <f t="shared" si="75"/>
        <v>145</v>
      </c>
      <c r="EE75" s="409">
        <f t="shared" si="76"/>
        <v>0</v>
      </c>
      <c r="EF75" s="409">
        <f t="shared" si="77"/>
        <v>0</v>
      </c>
      <c r="EG75" s="409">
        <f t="shared" si="78"/>
        <v>95</v>
      </c>
      <c r="EH75" s="97">
        <f t="shared" si="93"/>
        <v>0</v>
      </c>
      <c r="EI75" s="97">
        <f t="shared" si="94"/>
        <v>0</v>
      </c>
      <c r="EJ75" s="97">
        <f t="shared" si="95"/>
        <v>0</v>
      </c>
      <c r="EK75" s="97">
        <f t="shared" si="96"/>
        <v>0</v>
      </c>
      <c r="EL75" s="97">
        <f t="shared" si="97"/>
        <v>0</v>
      </c>
      <c r="EM75" s="29"/>
      <c r="EN75" s="29"/>
      <c r="EO75" s="29"/>
      <c r="EP75" s="29"/>
      <c r="EQ75" s="29"/>
      <c r="ER75" s="29"/>
      <c r="ES75" s="29"/>
      <c r="ET75" s="29"/>
      <c r="EU75" s="29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</row>
    <row r="76" spans="1:168" ht="15.95" customHeight="1" x14ac:dyDescent="0.25">
      <c r="A76" s="29"/>
      <c r="B76" s="29"/>
      <c r="C76" s="29"/>
      <c r="D76" s="524" t="s">
        <v>2</v>
      </c>
      <c r="E76" s="524"/>
      <c r="F76" s="524"/>
      <c r="G76" s="44"/>
      <c r="H76" s="529" t="s">
        <v>891</v>
      </c>
      <c r="I76" s="529"/>
      <c r="J76" s="529"/>
      <c r="K76" s="529"/>
      <c r="L76" s="529"/>
      <c r="M76" s="529"/>
      <c r="N76" s="529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471"/>
      <c r="AC76" s="471"/>
      <c r="AD76" s="471"/>
      <c r="AE76" s="471"/>
      <c r="AF76" s="471"/>
      <c r="AG76" s="52"/>
      <c r="AH76" s="52"/>
      <c r="AI76" s="52"/>
      <c r="AJ76" s="52"/>
      <c r="AK76" s="52"/>
      <c r="AL76" s="29">
        <v>19</v>
      </c>
      <c r="AM76" s="376" t="str">
        <f t="shared" si="90"/>
        <v xml:space="preserve"> </v>
      </c>
      <c r="AN76" s="52"/>
      <c r="AO76" s="52"/>
      <c r="AP76" s="52"/>
      <c r="AQ76" s="52"/>
      <c r="AR76" s="52"/>
      <c r="AS76" s="29">
        <v>9</v>
      </c>
      <c r="AT76" s="234" t="s">
        <v>862</v>
      </c>
      <c r="AU76" s="234" t="s">
        <v>799</v>
      </c>
      <c r="AV76" s="234" t="s">
        <v>509</v>
      </c>
      <c r="AW76" s="234">
        <v>20</v>
      </c>
      <c r="AX76" s="234">
        <v>2</v>
      </c>
      <c r="AY76" s="234">
        <v>14</v>
      </c>
      <c r="AZ76" s="234" t="s">
        <v>909</v>
      </c>
      <c r="BA76" s="234">
        <v>6</v>
      </c>
      <c r="BB76" s="234">
        <v>-5</v>
      </c>
      <c r="BC76" s="234">
        <v>60</v>
      </c>
      <c r="BD76" s="234">
        <v>70</v>
      </c>
      <c r="BE76" s="375">
        <f t="shared" si="91"/>
        <v>7.5</v>
      </c>
      <c r="BF76" s="234">
        <v>10</v>
      </c>
      <c r="BG76" s="29"/>
      <c r="BH76" s="29"/>
      <c r="BI76" s="408"/>
      <c r="BJ76" s="409"/>
      <c r="BK76" s="408"/>
      <c r="BL76" s="408"/>
      <c r="BM76" s="408"/>
      <c r="BN76" s="233"/>
      <c r="BO76" s="233"/>
      <c r="BP76" s="233"/>
      <c r="BQ76" s="233"/>
      <c r="BR76" s="233"/>
      <c r="BS76" s="233"/>
      <c r="BT76" s="233"/>
      <c r="BU76" s="233"/>
      <c r="BV76" s="233"/>
      <c r="BW76" s="233"/>
      <c r="BX76" s="233"/>
      <c r="BY76" s="233"/>
      <c r="BZ76" s="236"/>
      <c r="CA76" s="394" t="s">
        <v>834</v>
      </c>
      <c r="CB76" s="394" t="s">
        <v>847</v>
      </c>
      <c r="CC76" s="395" t="s">
        <v>1573</v>
      </c>
      <c r="CD76" s="394"/>
      <c r="CE76" s="406" t="s">
        <v>1576</v>
      </c>
      <c r="CF76" s="394" t="s">
        <v>1575</v>
      </c>
      <c r="CG76" s="233"/>
      <c r="CH76" s="233"/>
      <c r="CI76" s="233"/>
      <c r="CJ76" s="233"/>
      <c r="CK76" s="233"/>
      <c r="CL76" s="233"/>
      <c r="CM76" s="233"/>
      <c r="CN76" s="233"/>
      <c r="CO76" s="233"/>
      <c r="CP76" s="233"/>
      <c r="CQ76" s="233"/>
      <c r="CR76" s="233"/>
      <c r="CS76" s="233"/>
      <c r="CT76" s="233"/>
      <c r="CU76" s="233"/>
      <c r="CV76" s="233"/>
      <c r="CW76" s="233"/>
      <c r="CX76" s="233"/>
      <c r="CY76" s="233"/>
      <c r="CZ76" s="233"/>
      <c r="DA76" s="233"/>
      <c r="DB76" s="233"/>
      <c r="DC76" s="233"/>
      <c r="DD76" s="233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421" t="s">
        <v>1671</v>
      </c>
      <c r="DT76" s="422">
        <v>52730</v>
      </c>
      <c r="DU76" s="420">
        <v>5</v>
      </c>
      <c r="DV76" s="420">
        <v>145</v>
      </c>
      <c r="DW76" s="420">
        <v>0</v>
      </c>
      <c r="DX76" s="420"/>
      <c r="DY76" s="420">
        <v>95</v>
      </c>
      <c r="DZ76" s="420"/>
      <c r="EA76" s="29"/>
      <c r="EB76" s="413" t="str">
        <f t="shared" si="73"/>
        <v>Pathfinder Heavy</v>
      </c>
      <c r="EC76" s="409">
        <f t="shared" si="74"/>
        <v>5</v>
      </c>
      <c r="ED76" s="409">
        <f t="shared" si="75"/>
        <v>100</v>
      </c>
      <c r="EE76" s="409">
        <f t="shared" si="76"/>
        <v>0</v>
      </c>
      <c r="EF76" s="409" t="str">
        <f t="shared" si="77"/>
        <v>A; L</v>
      </c>
      <c r="EG76" s="409">
        <f t="shared" si="78"/>
        <v>85</v>
      </c>
      <c r="EH76" s="97">
        <f t="shared" si="93"/>
        <v>0</v>
      </c>
      <c r="EI76" s="97">
        <f t="shared" si="94"/>
        <v>0</v>
      </c>
      <c r="EJ76" s="97">
        <f t="shared" si="95"/>
        <v>0</v>
      </c>
      <c r="EK76" s="97">
        <f t="shared" si="96"/>
        <v>0</v>
      </c>
      <c r="EL76" s="97">
        <f t="shared" si="97"/>
        <v>0</v>
      </c>
      <c r="EM76" s="29"/>
      <c r="EN76" s="29"/>
      <c r="EO76" s="29"/>
      <c r="EP76" s="29"/>
      <c r="EQ76" s="29"/>
      <c r="ER76" s="29"/>
      <c r="ES76" s="29"/>
      <c r="ET76" s="29"/>
      <c r="EU76" s="29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</row>
    <row r="77" spans="1:168" ht="15.9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471"/>
      <c r="AC77" s="471"/>
      <c r="AD77" s="471"/>
      <c r="AE77" s="471"/>
      <c r="AF77" s="471"/>
      <c r="AG77" s="52"/>
      <c r="AH77" s="52"/>
      <c r="AI77" s="52"/>
      <c r="AJ77" s="52"/>
      <c r="AK77" s="52"/>
      <c r="AL77" s="29">
        <v>20</v>
      </c>
      <c r="AM77" s="376" t="str">
        <f t="shared" si="90"/>
        <v xml:space="preserve"> </v>
      </c>
      <c r="AN77" s="52"/>
      <c r="AO77" s="52"/>
      <c r="AP77" s="52"/>
      <c r="AQ77" s="52"/>
      <c r="AR77" s="52"/>
      <c r="AS77" s="29">
        <v>10</v>
      </c>
      <c r="AT77" s="234" t="s">
        <v>813</v>
      </c>
      <c r="AU77" s="234" t="s">
        <v>509</v>
      </c>
      <c r="AV77" s="234" t="s">
        <v>719</v>
      </c>
      <c r="AW77" s="234">
        <v>20</v>
      </c>
      <c r="AX77" s="234">
        <v>3</v>
      </c>
      <c r="AY77" s="234">
        <v>12</v>
      </c>
      <c r="AZ77" s="234" t="s">
        <v>1551</v>
      </c>
      <c r="BA77" s="234">
        <v>2</v>
      </c>
      <c r="BB77" s="234">
        <v>-2</v>
      </c>
      <c r="BC77" s="234">
        <v>16</v>
      </c>
      <c r="BD77" s="234">
        <v>70</v>
      </c>
      <c r="BE77" s="375">
        <f t="shared" si="91"/>
        <v>6.5</v>
      </c>
      <c r="BF77" s="234">
        <v>9</v>
      </c>
      <c r="BG77" s="29"/>
      <c r="BH77" s="29"/>
      <c r="BI77" s="408"/>
      <c r="BJ77" s="409"/>
      <c r="BK77" s="408"/>
      <c r="BL77" s="408"/>
      <c r="BM77" s="408"/>
      <c r="BN77" s="233"/>
      <c r="BO77" s="233"/>
      <c r="BP77" s="233"/>
      <c r="BQ77" s="233"/>
      <c r="BR77" s="233"/>
      <c r="BS77" s="233"/>
      <c r="BT77" s="233"/>
      <c r="BU77" s="233"/>
      <c r="BV77" s="233"/>
      <c r="BW77" s="233"/>
      <c r="BX77" s="233"/>
      <c r="BY77" s="233"/>
      <c r="BZ77" s="236"/>
      <c r="CA77" s="394" t="s">
        <v>836</v>
      </c>
      <c r="CB77" s="394" t="s">
        <v>847</v>
      </c>
      <c r="CC77" s="395" t="s">
        <v>1573</v>
      </c>
      <c r="CD77" s="394"/>
      <c r="CE77" s="394" t="s">
        <v>1574</v>
      </c>
      <c r="CF77" s="394" t="s">
        <v>1575</v>
      </c>
      <c r="CG77" s="233"/>
      <c r="CH77" s="233"/>
      <c r="CI77" s="233"/>
      <c r="CJ77" s="233"/>
      <c r="CK77" s="233"/>
      <c r="CL77" s="233"/>
      <c r="CM77" s="233"/>
      <c r="CN77" s="233"/>
      <c r="CO77" s="233"/>
      <c r="CP77" s="233"/>
      <c r="CQ77" s="233"/>
      <c r="CR77" s="233"/>
      <c r="CS77" s="233"/>
      <c r="CT77" s="233"/>
      <c r="CU77" s="233"/>
      <c r="CV77" s="233"/>
      <c r="CW77" s="233"/>
      <c r="CX77" s="233"/>
      <c r="CY77" s="233"/>
      <c r="CZ77" s="233"/>
      <c r="DA77" s="233"/>
      <c r="DB77" s="233"/>
      <c r="DC77" s="233"/>
      <c r="DD77" s="233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419" t="s">
        <v>1672</v>
      </c>
      <c r="DT77" s="422">
        <v>68465</v>
      </c>
      <c r="DU77" s="420">
        <v>5</v>
      </c>
      <c r="DV77" s="420">
        <v>100</v>
      </c>
      <c r="DW77" s="420">
        <v>0</v>
      </c>
      <c r="DX77" s="420" t="s">
        <v>1600</v>
      </c>
      <c r="DY77" s="420">
        <v>85</v>
      </c>
      <c r="DZ77" s="420" t="s">
        <v>1623</v>
      </c>
      <c r="EA77" s="29"/>
      <c r="EB77" s="413" t="str">
        <f t="shared" si="73"/>
        <v>T5-V Battlesuit</v>
      </c>
      <c r="EC77" s="409">
        <f t="shared" si="74"/>
        <v>6</v>
      </c>
      <c r="ED77" s="409">
        <f t="shared" si="75"/>
        <v>120</v>
      </c>
      <c r="EE77" s="409">
        <f t="shared" si="76"/>
        <v>1</v>
      </c>
      <c r="EF77" s="409">
        <f t="shared" si="77"/>
        <v>0</v>
      </c>
      <c r="EG77" s="409">
        <f t="shared" si="78"/>
        <v>120</v>
      </c>
      <c r="EH77" s="97">
        <f t="shared" si="93"/>
        <v>0</v>
      </c>
      <c r="EI77" s="97">
        <f t="shared" si="94"/>
        <v>0</v>
      </c>
      <c r="EJ77" s="97">
        <f t="shared" si="95"/>
        <v>0</v>
      </c>
      <c r="EK77" s="97">
        <f t="shared" si="96"/>
        <v>0</v>
      </c>
      <c r="EL77" s="97">
        <f t="shared" si="97"/>
        <v>0</v>
      </c>
      <c r="EM77" s="29"/>
      <c r="EN77" s="29"/>
      <c r="EO77" s="29"/>
      <c r="EP77" s="29"/>
      <c r="EQ77" s="29"/>
      <c r="ER77" s="29"/>
      <c r="ES77" s="29"/>
      <c r="ET77" s="29"/>
      <c r="EU77" s="29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</row>
    <row r="78" spans="1:168" ht="15.95" customHeight="1" x14ac:dyDescent="0.3">
      <c r="A78" s="539" t="s">
        <v>271</v>
      </c>
      <c r="B78" s="539"/>
      <c r="C78" s="530"/>
      <c r="D78" s="530"/>
      <c r="E78" s="530"/>
      <c r="F78" s="530"/>
      <c r="G78" s="530"/>
      <c r="H78" s="530"/>
      <c r="I78" s="530"/>
      <c r="J78" s="530"/>
      <c r="K78" s="530"/>
      <c r="L78" s="531"/>
      <c r="M78" s="531"/>
      <c r="N78" s="531"/>
      <c r="O78" s="531"/>
      <c r="P78" s="531"/>
      <c r="Q78" s="531"/>
      <c r="R78" s="531"/>
      <c r="S78" s="604"/>
      <c r="T78" s="605"/>
      <c r="U78" s="605"/>
      <c r="V78" s="606"/>
      <c r="W78" s="472"/>
      <c r="X78" s="472"/>
      <c r="Y78" s="472"/>
      <c r="Z78" s="472"/>
      <c r="AA78" s="30"/>
      <c r="AB78" s="471"/>
      <c r="AC78" s="471"/>
      <c r="AD78" s="471"/>
      <c r="AE78" s="471"/>
      <c r="AF78" s="471"/>
      <c r="AG78" s="52"/>
      <c r="AH78" s="52"/>
      <c r="AI78" s="52"/>
      <c r="AJ78" s="52"/>
      <c r="AK78" s="52"/>
      <c r="AL78" s="29">
        <v>21</v>
      </c>
      <c r="AM78" s="376" t="str">
        <f t="shared" si="90"/>
        <v xml:space="preserve"> </v>
      </c>
      <c r="AN78" s="52"/>
      <c r="AO78" s="387" t="s">
        <v>1565</v>
      </c>
      <c r="AP78" s="29"/>
      <c r="AQ78" s="29"/>
      <c r="AR78" s="52"/>
      <c r="AS78" s="29">
        <v>11</v>
      </c>
      <c r="AT78" s="234" t="s">
        <v>864</v>
      </c>
      <c r="AU78" s="234" t="s">
        <v>796</v>
      </c>
      <c r="AV78" s="234" t="s">
        <v>797</v>
      </c>
      <c r="AW78" s="234">
        <v>19</v>
      </c>
      <c r="AX78" s="234">
        <v>3</v>
      </c>
      <c r="AY78" s="234">
        <v>14</v>
      </c>
      <c r="AZ78" s="234" t="s">
        <v>1551</v>
      </c>
      <c r="BA78" s="234">
        <v>1</v>
      </c>
      <c r="BB78" s="234">
        <v>-4</v>
      </c>
      <c r="BC78" s="234">
        <v>8</v>
      </c>
      <c r="BD78" s="234">
        <v>100</v>
      </c>
      <c r="BE78" s="375">
        <f t="shared" si="91"/>
        <v>8</v>
      </c>
      <c r="BF78" s="234">
        <v>11</v>
      </c>
      <c r="BG78" s="29"/>
      <c r="BH78" s="29"/>
      <c r="BI78" s="408"/>
      <c r="BJ78" s="409"/>
      <c r="BK78" s="408"/>
      <c r="BL78" s="408"/>
      <c r="BM78" s="408"/>
      <c r="BN78" s="233"/>
      <c r="BO78" s="233"/>
      <c r="BP78" s="233"/>
      <c r="BQ78" s="233"/>
      <c r="BR78" s="233"/>
      <c r="BS78" s="233"/>
      <c r="BT78" s="233"/>
      <c r="BU78" s="233"/>
      <c r="BV78" s="233"/>
      <c r="BW78" s="233"/>
      <c r="BX78" s="233"/>
      <c r="BY78" s="233"/>
      <c r="BZ78" s="233"/>
      <c r="CA78" s="394" t="s">
        <v>837</v>
      </c>
      <c r="CB78" s="394" t="s">
        <v>847</v>
      </c>
      <c r="CC78" s="394" t="s">
        <v>1576</v>
      </c>
      <c r="CD78" s="394"/>
      <c r="CE78" s="394" t="s">
        <v>1576</v>
      </c>
      <c r="CF78" s="394" t="s">
        <v>1575</v>
      </c>
      <c r="CG78" s="233"/>
      <c r="CH78" s="233"/>
      <c r="CI78" s="233"/>
      <c r="CJ78" s="233"/>
      <c r="CK78" s="233"/>
      <c r="CL78" s="233"/>
      <c r="CM78" s="233"/>
      <c r="CN78" s="233"/>
      <c r="CO78" s="233"/>
      <c r="CP78" s="233"/>
      <c r="CQ78" s="233"/>
      <c r="CR78" s="233"/>
      <c r="CS78" s="233"/>
      <c r="CT78" s="233"/>
      <c r="CU78" s="233"/>
      <c r="CV78" s="233"/>
      <c r="CW78" s="233"/>
      <c r="CX78" s="233"/>
      <c r="CY78" s="233"/>
      <c r="CZ78" s="233"/>
      <c r="DA78" s="233"/>
      <c r="DB78" s="233"/>
      <c r="DC78" s="233"/>
      <c r="DD78" s="233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421" t="s">
        <v>1194</v>
      </c>
      <c r="DT78" s="422">
        <v>80375</v>
      </c>
      <c r="DU78" s="420">
        <v>6</v>
      </c>
      <c r="DV78" s="420">
        <v>120</v>
      </c>
      <c r="DW78" s="420">
        <v>1</v>
      </c>
      <c r="DX78" s="420"/>
      <c r="DY78" s="420">
        <v>120</v>
      </c>
      <c r="DZ78" s="429" t="s">
        <v>1624</v>
      </c>
      <c r="EA78" s="29"/>
      <c r="EB78" s="413" t="s">
        <v>1430</v>
      </c>
      <c r="EC78" s="409">
        <f>IF(Equipment!$K$32="Heavy",Equipment!$N$32,0)</f>
        <v>0</v>
      </c>
      <c r="ED78" s="432">
        <f>IF(Equipment!$K$32="Heavy",Equipment!$L$33,0)</f>
        <v>0</v>
      </c>
      <c r="EE78" s="432">
        <f>IF(Equipment!$K$32="Heavy",Equipment!$P$32,0)</f>
        <v>0</v>
      </c>
      <c r="EF78" s="432">
        <f>IF(Equipment!$K$32="Heavy",Equipment!$O$33,0)</f>
        <v>0</v>
      </c>
      <c r="EG78" s="432">
        <f>IF(Equipment!$K$32="Heavy",Equipment!$L$34,0)</f>
        <v>0</v>
      </c>
      <c r="EH78" s="97">
        <f>IF($AB$27=EB78,EC78,0)</f>
        <v>0</v>
      </c>
      <c r="EI78" s="97">
        <f>IF($AB$27=EB78,ED78,0)</f>
        <v>0</v>
      </c>
      <c r="EJ78" s="97">
        <f>IF($AB$27=EB78,EE78,0)</f>
        <v>0</v>
      </c>
      <c r="EK78" s="97">
        <f>IF($AB$27=EB78,EF78,0)</f>
        <v>0</v>
      </c>
      <c r="EL78" s="97">
        <f>IF($AB$27=EB78,EG78,0)</f>
        <v>0</v>
      </c>
      <c r="EM78" s="29"/>
      <c r="EN78" s="29"/>
      <c r="EO78" s="29"/>
      <c r="EP78" s="29"/>
      <c r="EQ78" s="29"/>
      <c r="ER78" s="29"/>
      <c r="ES78" s="29"/>
      <c r="ET78" s="29"/>
      <c r="EU78" s="29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</row>
    <row r="79" spans="1:168" ht="15.95" customHeight="1" x14ac:dyDescent="0.25">
      <c r="A79" s="226"/>
      <c r="B79" s="226"/>
      <c r="C79" s="602" t="s">
        <v>1262</v>
      </c>
      <c r="D79" s="602"/>
      <c r="E79" s="602"/>
      <c r="F79" s="602"/>
      <c r="G79" s="473" t="s">
        <v>1540</v>
      </c>
      <c r="H79" s="473"/>
      <c r="I79" s="473"/>
      <c r="J79" s="473"/>
      <c r="K79" s="473"/>
      <c r="L79" s="473" t="s">
        <v>1423</v>
      </c>
      <c r="M79" s="473"/>
      <c r="N79" s="473" t="s">
        <v>793</v>
      </c>
      <c r="O79" s="473"/>
      <c r="P79" s="473"/>
      <c r="Q79" s="473"/>
      <c r="R79" s="473"/>
      <c r="S79" s="473" t="s">
        <v>792</v>
      </c>
      <c r="T79" s="473"/>
      <c r="U79" s="473"/>
      <c r="V79" s="473"/>
      <c r="W79" s="473" t="s">
        <v>792</v>
      </c>
      <c r="X79" s="473"/>
      <c r="Y79" s="473"/>
      <c r="Z79" s="473"/>
      <c r="AA79" s="30"/>
      <c r="AB79" s="471"/>
      <c r="AC79" s="471"/>
      <c r="AD79" s="471"/>
      <c r="AE79" s="471"/>
      <c r="AF79" s="471"/>
      <c r="AG79" s="52"/>
      <c r="AH79" s="52"/>
      <c r="AI79" s="52"/>
      <c r="AJ79" s="52"/>
      <c r="AK79" s="52"/>
      <c r="AL79" s="29">
        <v>22</v>
      </c>
      <c r="AM79" s="376" t="str">
        <f t="shared" si="90"/>
        <v xml:space="preserve"> </v>
      </c>
      <c r="AN79" s="52"/>
      <c r="AO79" s="29"/>
      <c r="AP79" s="29"/>
      <c r="AQ79" s="29"/>
      <c r="AR79" s="52"/>
      <c r="AS79" s="29">
        <v>12</v>
      </c>
      <c r="AT79" s="234" t="s">
        <v>873</v>
      </c>
      <c r="AU79" s="234" t="s">
        <v>799</v>
      </c>
      <c r="AV79" s="234" t="s">
        <v>509</v>
      </c>
      <c r="AW79" s="234">
        <v>20</v>
      </c>
      <c r="AX79" s="234">
        <v>2</v>
      </c>
      <c r="AY79" s="234">
        <v>15</v>
      </c>
      <c r="AZ79" s="234" t="s">
        <v>909</v>
      </c>
      <c r="BA79" s="234">
        <v>6</v>
      </c>
      <c r="BB79" s="234">
        <v>-4</v>
      </c>
      <c r="BC79" s="234">
        <v>100</v>
      </c>
      <c r="BD79" s="234">
        <v>60</v>
      </c>
      <c r="BE79" s="375">
        <f t="shared" si="91"/>
        <v>13</v>
      </c>
      <c r="BF79" s="234">
        <v>18</v>
      </c>
      <c r="BG79" s="29"/>
      <c r="BH79" s="29"/>
      <c r="BI79" s="408"/>
      <c r="BJ79" s="409"/>
      <c r="BK79" s="408"/>
      <c r="BL79" s="408"/>
      <c r="BM79" s="408"/>
      <c r="BN79" s="233"/>
      <c r="BO79" s="233"/>
      <c r="BP79" s="233"/>
      <c r="BQ79" s="233"/>
      <c r="BR79" s="233"/>
      <c r="BS79" s="233"/>
      <c r="BT79" s="233"/>
      <c r="BU79" s="233"/>
      <c r="BV79" s="233"/>
      <c r="BW79" s="233"/>
      <c r="BX79" s="233"/>
      <c r="BY79" s="233"/>
      <c r="BZ79" s="233"/>
      <c r="CA79" s="394" t="s">
        <v>1206</v>
      </c>
      <c r="CB79" s="394" t="s">
        <v>847</v>
      </c>
      <c r="CC79" s="395" t="s">
        <v>1573</v>
      </c>
      <c r="CD79" s="394"/>
      <c r="CE79" s="394"/>
      <c r="CF79" s="394" t="s">
        <v>1575</v>
      </c>
      <c r="CG79" s="233"/>
      <c r="CH79" s="233"/>
      <c r="CI79" s="233"/>
      <c r="CJ79" s="233"/>
      <c r="CK79" s="233"/>
      <c r="CL79" s="233"/>
      <c r="CM79" s="233"/>
      <c r="CN79" s="233"/>
      <c r="CO79" s="233"/>
      <c r="CP79" s="233"/>
      <c r="CQ79" s="233"/>
      <c r="CR79" s="233"/>
      <c r="CS79" s="233"/>
      <c r="CT79" s="233"/>
      <c r="CU79" s="233"/>
      <c r="CV79" s="233"/>
      <c r="CW79" s="233"/>
      <c r="CX79" s="233"/>
      <c r="CY79" s="233"/>
      <c r="CZ79" s="233"/>
      <c r="DA79" s="233"/>
      <c r="DB79" s="233"/>
      <c r="DC79" s="233"/>
      <c r="DD79" s="233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428"/>
      <c r="DT79" s="428"/>
      <c r="DU79" s="428"/>
      <c r="DV79" s="428"/>
      <c r="DW79" s="428"/>
      <c r="DX79" s="428"/>
      <c r="DY79" s="428"/>
      <c r="DZ79" s="428"/>
      <c r="EA79" s="29"/>
      <c r="EB79" s="29"/>
      <c r="EC79" s="29"/>
      <c r="ED79" s="29"/>
      <c r="EE79" s="29"/>
      <c r="EF79" s="29"/>
      <c r="EG79" s="29"/>
      <c r="EH79" s="97"/>
      <c r="EI79" s="97"/>
      <c r="EJ79" s="97"/>
      <c r="EK79" s="97">
        <f>IF(EK58&gt;0,EK58,IF(EK59&gt;0,EK59,IF(EK60&gt;0,EK60,IF(EK61&gt;0,EK61,IF(EK62&gt;0,EK62,IF(EK63&gt;0,EK63,IF(EK64&gt;0,EK64,IF(EK65&gt;0,EK65,IF(EK66&gt;0,EK66,IF(EK67&gt;0,EK67,IF(EK68&gt;0,EK68,IF(EK69&gt;0,EK69,IF(EK70&gt;0,EK70,IF(EK71&gt;0,EK71,IF(EK72&gt;0,EK72,IF(EK73&gt;0,EK73,IF(EK74&gt;0,EK74,IF(EK75&gt;0,EK75,IF(EK76&gt;0,EK76,IF(EK77&gt;0,EK77,IF(EK78&gt;0,EK78,IF(EK55&gt;0,EK55,IF(EK56&gt;0,EK56,IF(EK57&gt;0,EK57,0))))))))))))))))))))))))</f>
        <v>0</v>
      </c>
      <c r="EL79" s="97"/>
      <c r="EM79" s="29"/>
      <c r="EN79" s="29"/>
      <c r="EO79" s="29"/>
      <c r="EP79" s="29"/>
      <c r="EQ79" s="29"/>
      <c r="ER79" s="29"/>
      <c r="ES79" s="29"/>
      <c r="ET79" s="29"/>
      <c r="EU79" s="29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</row>
    <row r="80" spans="1:168" ht="15.95" customHeight="1" x14ac:dyDescent="0.25">
      <c r="A80" s="532" t="s">
        <v>423</v>
      </c>
      <c r="B80" s="532"/>
      <c r="C80" s="533"/>
      <c r="D80" s="366">
        <f>D68</f>
        <v>0</v>
      </c>
      <c r="E80" s="17"/>
      <c r="F80" s="366">
        <f>IF(Y80&gt;$B$6,(Y80-$B$6)*-1,0)</f>
        <v>0</v>
      </c>
      <c r="G80" s="17"/>
      <c r="H80" s="368"/>
      <c r="I80" s="17"/>
      <c r="J80" s="379">
        <f>IF(C78=$AH$6,$N$6,IF($B$1="Elcor",$N$12,$N$8))</f>
        <v>-5</v>
      </c>
      <c r="K80" s="17"/>
      <c r="L80" s="366">
        <f>IF(AND(C78=AH1,Feats!Q35=1),1,0)+IF(AND(C78=AH2,Feats!Q36=1),1,0)+IF(AND(C78=AH3,Feats!Q37=1),1,0)+IF(AND(C78=AH4,Feats!Q38=1),1,0)+IF(AND(C78=AH5,Feats!Q39=1),1,0)+IF(AND(C78=AH6,Feats!Q40=1),1,0)+IF(AND(C78=AH1,Feats!Q42=1),1,0)+IF(AND(C78=AH2,Feats!Q43=1),1,0)+IF(AND(C78=AH3,Feats!Q44=1),1,0)+IF(AND(C78=AH4,Feats!Q45=1),1,0)+IF(AND(C78=AH5,Feats!Q46=1),1,0)+IF(AND(C78=AH6,Feats!Q47=1),1,0)+IF(AND(C78=AH7,Feats!H46=1),IF($D$44&lt;=3,1,ROUNDDOWN($D$44/2,0)),0)</f>
        <v>0</v>
      </c>
      <c r="M80" s="17"/>
      <c r="N80" s="366">
        <f>IF($B$2="Fine",8,IF($B$2="Diminutive",4,IF($B$2="Tiny", 2,IF($B$2="Small",1,IF($B$2="Medium",0,IF($B$2="Large",-1,IF($B$2="Huge",-2,IF($B$2="Gargantuan",-4,IF($B$2="Colossal",-8,0)))))))))</f>
        <v>0</v>
      </c>
      <c r="O80" s="17"/>
      <c r="P80" s="368"/>
      <c r="Q80" s="29"/>
      <c r="R80" s="366">
        <f>AP94</f>
        <v>0</v>
      </c>
      <c r="S80" s="534"/>
      <c r="T80" s="535"/>
      <c r="U80" s="29"/>
      <c r="V80" s="30"/>
      <c r="W80" s="30"/>
      <c r="X80" s="370" t="s">
        <v>202</v>
      </c>
      <c r="Y80" s="468">
        <f>AP80</f>
        <v>0</v>
      </c>
      <c r="Z80" s="468"/>
      <c r="AA80" s="30"/>
      <c r="AB80" s="471"/>
      <c r="AC80" s="471"/>
      <c r="AD80" s="471"/>
      <c r="AE80" s="471"/>
      <c r="AF80" s="471"/>
      <c r="AG80" s="52"/>
      <c r="AH80" s="52"/>
      <c r="AI80" s="52"/>
      <c r="AJ80" s="52"/>
      <c r="AK80" s="52"/>
      <c r="AL80" s="29">
        <v>23</v>
      </c>
      <c r="AM80" s="376" t="str">
        <f t="shared" si="90"/>
        <v xml:space="preserve"> </v>
      </c>
      <c r="AN80" s="52"/>
      <c r="AO80" s="391" t="s">
        <v>202</v>
      </c>
      <c r="AP80" s="468">
        <f>IF(C78=$AH$1,AY29,IF(C78=$AH$2,AY63,IF(C78=$AH$3,AY94,IF(C78=$AH$4,AY125,IF(C78=$AH$5,AY156,IF(C78=$AH$6,AY187,0))))))</f>
        <v>0</v>
      </c>
      <c r="AQ80" s="468"/>
      <c r="AR80" s="52"/>
      <c r="AS80" s="29">
        <v>13</v>
      </c>
      <c r="AT80" s="234" t="s">
        <v>814</v>
      </c>
      <c r="AU80" s="234" t="s">
        <v>509</v>
      </c>
      <c r="AV80" s="234" t="s">
        <v>719</v>
      </c>
      <c r="AW80" s="234">
        <v>20</v>
      </c>
      <c r="AX80" s="234">
        <v>2</v>
      </c>
      <c r="AY80" s="234">
        <v>13</v>
      </c>
      <c r="AZ80" s="234" t="s">
        <v>434</v>
      </c>
      <c r="BA80" s="234">
        <v>2</v>
      </c>
      <c r="BB80" s="234">
        <v>-3</v>
      </c>
      <c r="BC80" s="234">
        <v>16</v>
      </c>
      <c r="BD80" s="234">
        <v>70</v>
      </c>
      <c r="BE80" s="375">
        <f t="shared" si="91"/>
        <v>6.5</v>
      </c>
      <c r="BF80" s="234">
        <v>9</v>
      </c>
      <c r="BG80" s="29"/>
      <c r="BH80" s="29"/>
      <c r="BI80" s="408"/>
      <c r="BJ80" s="409"/>
      <c r="BK80" s="408"/>
      <c r="BL80" s="408"/>
      <c r="BM80" s="408"/>
      <c r="BN80" s="233"/>
      <c r="BO80" s="233"/>
      <c r="BP80" s="233"/>
      <c r="BQ80" s="233"/>
      <c r="BR80" s="233"/>
      <c r="BS80" s="233"/>
      <c r="BT80" s="233"/>
      <c r="BU80" s="233"/>
      <c r="BV80" s="233"/>
      <c r="BW80" s="233"/>
      <c r="BX80" s="233"/>
      <c r="BY80" s="233"/>
      <c r="BZ80" s="233"/>
      <c r="CA80" s="401" t="s">
        <v>1523</v>
      </c>
      <c r="CB80" s="394" t="s">
        <v>847</v>
      </c>
      <c r="CC80" s="394" t="s">
        <v>1576</v>
      </c>
      <c r="CD80" s="399"/>
      <c r="CE80" s="394" t="s">
        <v>1576</v>
      </c>
      <c r="CF80" s="394" t="s">
        <v>1575</v>
      </c>
      <c r="CG80" s="233"/>
      <c r="CH80" s="233"/>
      <c r="CI80" s="233"/>
      <c r="CJ80" s="233"/>
      <c r="CK80" s="233"/>
      <c r="CL80" s="233"/>
      <c r="CM80" s="233"/>
      <c r="CN80" s="233"/>
      <c r="CO80" s="233"/>
      <c r="CP80" s="233"/>
      <c r="CQ80" s="233"/>
      <c r="CR80" s="233"/>
      <c r="CS80" s="233"/>
      <c r="CT80" s="233"/>
      <c r="CU80" s="233"/>
      <c r="CV80" s="233"/>
      <c r="CW80" s="233"/>
      <c r="CX80" s="233"/>
      <c r="CY80" s="233"/>
      <c r="CZ80" s="233"/>
      <c r="DA80" s="233"/>
      <c r="DB80" s="233"/>
      <c r="DC80" s="233"/>
      <c r="DD80" s="233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428"/>
      <c r="DT80" s="428"/>
      <c r="DU80" s="428"/>
      <c r="DV80" s="428"/>
      <c r="DW80" s="428"/>
      <c r="DX80" s="428"/>
      <c r="DY80" s="428"/>
      <c r="DZ80" s="428"/>
      <c r="EA80" s="29"/>
      <c r="EB80" s="428"/>
      <c r="EC80" s="428"/>
      <c r="ED80" s="428"/>
      <c r="EE80" s="428"/>
      <c r="EF80" s="428"/>
      <c r="EG80" s="428"/>
      <c r="EH80" s="428"/>
      <c r="EI80" s="428"/>
      <c r="EJ80" s="428"/>
      <c r="EK80" s="428"/>
      <c r="EL80" s="428"/>
      <c r="EM80" s="428"/>
      <c r="EN80" s="29"/>
      <c r="EO80" s="29"/>
      <c r="EP80" s="29"/>
      <c r="EQ80" s="29"/>
      <c r="ER80" s="29"/>
      <c r="ES80" s="29"/>
      <c r="ET80" s="29"/>
      <c r="EU80" s="29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</row>
    <row r="81" spans="1:168" ht="15.95" customHeight="1" x14ac:dyDescent="0.25">
      <c r="A81" s="29"/>
      <c r="B81" s="29"/>
      <c r="C81" s="29"/>
      <c r="D81" s="148" t="s">
        <v>72</v>
      </c>
      <c r="E81" s="149"/>
      <c r="F81" s="148" t="s">
        <v>424</v>
      </c>
      <c r="G81" s="67"/>
      <c r="H81" s="369" t="s">
        <v>97</v>
      </c>
      <c r="I81" s="67"/>
      <c r="J81" s="369" t="s">
        <v>33</v>
      </c>
      <c r="K81" s="67"/>
      <c r="L81" s="369" t="s">
        <v>73</v>
      </c>
      <c r="M81" s="67"/>
      <c r="N81" s="369" t="s">
        <v>37</v>
      </c>
      <c r="O81" s="67"/>
      <c r="P81" s="369" t="s">
        <v>38</v>
      </c>
      <c r="Q81" s="150"/>
      <c r="R81" s="603" t="s">
        <v>425</v>
      </c>
      <c r="S81" s="603"/>
      <c r="T81" s="603"/>
      <c r="U81" s="29"/>
      <c r="V81" s="30"/>
      <c r="W81" s="30"/>
      <c r="X81" s="370" t="s">
        <v>420</v>
      </c>
      <c r="Y81" s="468">
        <f t="shared" ref="Y81:Y86" si="98">AP81</f>
        <v>0</v>
      </c>
      <c r="Z81" s="468"/>
      <c r="AA81" s="30"/>
      <c r="AB81" s="471"/>
      <c r="AC81" s="471"/>
      <c r="AD81" s="471"/>
      <c r="AE81" s="471"/>
      <c r="AF81" s="471"/>
      <c r="AG81" s="52"/>
      <c r="AH81" s="52"/>
      <c r="AI81" s="52"/>
      <c r="AJ81" s="52"/>
      <c r="AK81" s="52"/>
      <c r="AL81" s="52"/>
      <c r="AM81" s="52"/>
      <c r="AN81" s="52"/>
      <c r="AO81" s="391" t="s">
        <v>420</v>
      </c>
      <c r="AP81" s="468">
        <f>IF(C78=$AH$1,AZ29,IF(C78=$AH$2,AZ63,IF(C78=$AH$3,AZ94,IF(C78=$AH$4,AZ125,IF(C78=$AH$5,AZ156,IF(C78=$AH$6,AZ187,0))))))</f>
        <v>0</v>
      </c>
      <c r="AQ81" s="468"/>
      <c r="AR81" s="52"/>
      <c r="AS81" s="29">
        <v>14</v>
      </c>
      <c r="AT81" s="234" t="s">
        <v>872</v>
      </c>
      <c r="AU81" s="234" t="s">
        <v>815</v>
      </c>
      <c r="AV81" s="234" t="s">
        <v>816</v>
      </c>
      <c r="AW81" s="234">
        <v>20</v>
      </c>
      <c r="AX81" s="234">
        <v>2</v>
      </c>
      <c r="AY81" s="234">
        <v>12</v>
      </c>
      <c r="AZ81" s="234" t="s">
        <v>909</v>
      </c>
      <c r="BA81" s="234">
        <v>6</v>
      </c>
      <c r="BB81" s="234">
        <v>-1</v>
      </c>
      <c r="BC81" s="234">
        <v>100</v>
      </c>
      <c r="BD81" s="234">
        <v>40</v>
      </c>
      <c r="BE81" s="375">
        <f t="shared" si="91"/>
        <v>5</v>
      </c>
      <c r="BF81" s="234">
        <v>7</v>
      </c>
      <c r="BG81" s="29"/>
      <c r="BH81" s="29"/>
      <c r="BI81" s="408"/>
      <c r="BJ81" s="409"/>
      <c r="BK81" s="408"/>
      <c r="BL81" s="408"/>
      <c r="BM81" s="408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401" t="s">
        <v>1524</v>
      </c>
      <c r="CB81" s="394" t="s">
        <v>847</v>
      </c>
      <c r="CC81" s="395" t="s">
        <v>1573</v>
      </c>
      <c r="CD81" s="399"/>
      <c r="CE81" s="394" t="s">
        <v>1576</v>
      </c>
      <c r="CF81" s="394" t="s">
        <v>1575</v>
      </c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428"/>
      <c r="DT81" s="428"/>
      <c r="DU81" s="428"/>
      <c r="DV81" s="428"/>
      <c r="DW81" s="428"/>
      <c r="DX81" s="428"/>
      <c r="DY81" s="428"/>
      <c r="DZ81" s="428"/>
      <c r="EA81" s="29"/>
      <c r="EB81" s="428"/>
      <c r="EC81" s="428"/>
      <c r="ED81" s="428"/>
      <c r="EE81" s="428"/>
      <c r="EF81" s="428"/>
      <c r="EG81" s="428"/>
      <c r="EH81" s="428"/>
      <c r="EI81" s="428"/>
      <c r="EJ81" s="428"/>
      <c r="EK81" s="428"/>
      <c r="EL81" s="428"/>
      <c r="EM81" s="428"/>
      <c r="EN81" s="29"/>
      <c r="EO81" s="29"/>
      <c r="EP81" s="29"/>
      <c r="EQ81" s="29"/>
      <c r="ER81" s="29"/>
      <c r="ES81" s="29"/>
      <c r="ET81" s="29"/>
      <c r="EU81" s="29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</row>
    <row r="82" spans="1:168" ht="15.95" customHeight="1" x14ac:dyDescent="0.25">
      <c r="A82" s="532" t="s">
        <v>426</v>
      </c>
      <c r="B82" s="532"/>
      <c r="C82" s="532"/>
      <c r="D82" s="388">
        <f>IF(Y81="Burst","N/A",IF(AP93="Yes",D80+F80+H80+J80+L80+N80+P80,D80+F80+H80+J80+L80+N80+P80+Y83+R80+S80))</f>
        <v>-5</v>
      </c>
      <c r="E82" s="30"/>
      <c r="F82" s="532" t="s">
        <v>430</v>
      </c>
      <c r="G82" s="532"/>
      <c r="H82" s="532"/>
      <c r="I82" s="532"/>
      <c r="J82" s="532"/>
      <c r="K82" s="533"/>
      <c r="L82" s="388">
        <f>IF(OR(Y81="Burst",Y81="Single Shot",Y81="Semi-Automatic"),"N/A",D80+F80+H80+J80+L80+N80+P80+IF(-1*IF(AP93="Yes",Y83,2*Y83)&gt;R80+S80,IF(AP93="Yes",Y83,2*Y83)+R80+S80,0))</f>
        <v>-5</v>
      </c>
      <c r="M82" s="30"/>
      <c r="N82" s="30"/>
      <c r="O82" s="29"/>
      <c r="P82" s="536" t="str">
        <f>AP88</f>
        <v>0-20/×0</v>
      </c>
      <c r="Q82" s="537"/>
      <c r="R82" s="537"/>
      <c r="S82" s="537"/>
      <c r="T82" s="538"/>
      <c r="U82" s="29"/>
      <c r="V82" s="30"/>
      <c r="W82" s="30"/>
      <c r="X82" s="370" t="s">
        <v>421</v>
      </c>
      <c r="Y82" s="468">
        <f>IF(AND(AP82&lt;=0,1,OR(C78=AH1,C78=AH2,C78=AH3,C78=AH4,C78=AH5)),1,AP82)</f>
        <v>0</v>
      </c>
      <c r="Z82" s="468"/>
      <c r="AA82" s="30"/>
      <c r="AB82" s="471"/>
      <c r="AC82" s="471"/>
      <c r="AD82" s="471"/>
      <c r="AE82" s="471"/>
      <c r="AF82" s="471"/>
      <c r="AG82" s="52"/>
      <c r="AH82" s="52"/>
      <c r="AI82" s="52"/>
      <c r="AJ82" s="52"/>
      <c r="AK82" s="52"/>
      <c r="AL82" s="52"/>
      <c r="AM82" s="52"/>
      <c r="AN82" s="52"/>
      <c r="AO82" s="391" t="s">
        <v>421</v>
      </c>
      <c r="AP82" s="468">
        <f>IF(C78=$AH$1,BA29,IF(C78=$AH$2,BA63,IF(C78=$AH$3,BA94,IF(C78=$AH$4,BA125,IF(C78=$AH$5,BA156,IF(C78=$AH$6,BA187,0))))))+IF(BJ42="RoF +1",1,0)+IF(BK42="RoF +1",1,0)+IF(BL42="RoF +1",1,0)+IF(BM42="RoF +1",1,0)+IF(OR(N78="Heat Sink",N78=CV15),1,0)+IF(OR(S78="Heat Sink",S78=CV15),1,0)+IF(OR(W78="Heat Sink",W78=CV15),1,0)+IF(N78=CV16,2,0)+IF(S78=CV16,2,0)+IF(W78=CV16,2,0)+IF(N78=CV17,3,0)+IF(S78=CV17,3,0)+IF(W78=CV17,3,0)+IF(N78=CV18,-1,0)+IF(S78=CV18,-1,0)+IF(W78=CV18,-1,0)+IF(N78=CV19,-1,0)+IF(S78=CV19,-1,0)+IF(W78=CV19,-1,0)+IF(N78=CS23,-1,0)+IF(S78=CS23,-1,0)+IF(W78=CS23,-1,0)+IF(N78=CY23,-2,0)+IF(S78=CY23,-2,0)+IF(W78=CY23,-2,0)+IF(N78=CY20,1,0)+IF(S78=CY20,1,0)+IF(W78=CY20,1,0)+IF(N78=CS31,-3,0)+IF(S78=CS31,-3,0)+IF(W78=CS31,-3,0)</f>
        <v>0</v>
      </c>
      <c r="AQ82" s="468"/>
      <c r="AR82" s="52"/>
      <c r="AS82" s="29">
        <v>15</v>
      </c>
      <c r="AT82" s="234" t="s">
        <v>817</v>
      </c>
      <c r="AU82" s="234" t="s">
        <v>541</v>
      </c>
      <c r="AV82" s="234" t="s">
        <v>799</v>
      </c>
      <c r="AW82" s="234">
        <v>20</v>
      </c>
      <c r="AX82" s="234">
        <v>2</v>
      </c>
      <c r="AY82" s="234">
        <v>13</v>
      </c>
      <c r="AZ82" s="234" t="s">
        <v>909</v>
      </c>
      <c r="BA82" s="234">
        <v>5</v>
      </c>
      <c r="BB82" s="234">
        <v>-2</v>
      </c>
      <c r="BC82" s="234">
        <v>50</v>
      </c>
      <c r="BD82" s="234">
        <v>60</v>
      </c>
      <c r="BE82" s="375">
        <f t="shared" si="91"/>
        <v>5</v>
      </c>
      <c r="BF82" s="234">
        <v>7</v>
      </c>
      <c r="BG82" s="29"/>
      <c r="BH82" s="29"/>
      <c r="BI82" s="408"/>
      <c r="BJ82" s="409"/>
      <c r="BK82" s="408"/>
      <c r="BL82" s="408"/>
      <c r="BM82" s="408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401" t="s">
        <v>1522</v>
      </c>
      <c r="CB82" s="394" t="s">
        <v>847</v>
      </c>
      <c r="CC82" s="395" t="s">
        <v>1573</v>
      </c>
      <c r="CD82" s="400"/>
      <c r="CE82" s="400"/>
      <c r="CF82" s="394" t="s">
        <v>1575</v>
      </c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428"/>
      <c r="DT82" s="428"/>
      <c r="DU82" s="428"/>
      <c r="DV82" s="428"/>
      <c r="DW82" s="428"/>
      <c r="DX82" s="428"/>
      <c r="DY82" s="428"/>
      <c r="DZ82" s="428"/>
      <c r="EA82" s="29"/>
      <c r="EB82" s="428"/>
      <c r="EC82" s="428"/>
      <c r="ED82" s="428"/>
      <c r="EE82" s="428"/>
      <c r="EF82" s="428"/>
      <c r="EG82" s="428"/>
      <c r="EH82" s="428"/>
      <c r="EI82" s="428"/>
      <c r="EJ82" s="428"/>
      <c r="EK82" s="428"/>
      <c r="EL82" s="428"/>
      <c r="EM82" s="428"/>
      <c r="EN82" s="29"/>
      <c r="EO82" s="29"/>
      <c r="EP82" s="29"/>
      <c r="EQ82" s="29"/>
      <c r="ER82" s="29"/>
      <c r="ES82" s="29"/>
      <c r="ET82" s="29"/>
      <c r="EU82" s="29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</row>
    <row r="83" spans="1:168" ht="15.95" customHeight="1" x14ac:dyDescent="0.25">
      <c r="A83" s="532" t="s">
        <v>427</v>
      </c>
      <c r="B83" s="532"/>
      <c r="C83" s="532"/>
      <c r="D83" s="388">
        <f>IF(OR(Y81="Burst",Y81="Single Shot"),"N/A",D80+F80+H80+J80+L80+N80+P80+IF(-1*IF(AP93="Yes",Y83,2*Y83)&gt;R80+S80,IF(AP93="Yes",Y83,2*Y83)+R80+S80,0))</f>
        <v>-5</v>
      </c>
      <c r="E83" s="30"/>
      <c r="F83" s="532" t="s">
        <v>431</v>
      </c>
      <c r="G83" s="532"/>
      <c r="H83" s="532"/>
      <c r="I83" s="532"/>
      <c r="J83" s="532"/>
      <c r="K83" s="533"/>
      <c r="L83" s="388">
        <f>IF(OR(Y81="Burst",Y81="Single Shot",Y81="Semi-Automatic"),"N/A",D80+F80+H80+J80+L80+N80+P80+IF(-2*IF(AP93="Yes",Y83,2*Y83)&gt;R80+S80,2*IF(AP93="Yes",Y83,2*Y83)+R80+S80,0))</f>
        <v>-5</v>
      </c>
      <c r="M83" s="30"/>
      <c r="N83" s="30"/>
      <c r="O83" s="29"/>
      <c r="P83" s="526" t="s">
        <v>85</v>
      </c>
      <c r="Q83" s="526"/>
      <c r="R83" s="526"/>
      <c r="S83" s="526"/>
      <c r="T83" s="526"/>
      <c r="U83" s="29"/>
      <c r="V83" s="30"/>
      <c r="W83" s="30"/>
      <c r="X83" s="370" t="s">
        <v>190</v>
      </c>
      <c r="Y83" s="468">
        <f t="shared" si="98"/>
        <v>0</v>
      </c>
      <c r="Z83" s="468"/>
      <c r="AA83" s="30"/>
      <c r="AB83" s="471"/>
      <c r="AC83" s="471"/>
      <c r="AD83" s="471"/>
      <c r="AE83" s="471"/>
      <c r="AF83" s="471"/>
      <c r="AG83" s="52"/>
      <c r="AH83" s="52"/>
      <c r="AI83" s="52"/>
      <c r="AJ83" s="52"/>
      <c r="AK83" s="52"/>
      <c r="AL83" s="29"/>
      <c r="AM83" s="29" t="s">
        <v>1565</v>
      </c>
      <c r="AN83" s="52"/>
      <c r="AO83" s="391" t="s">
        <v>190</v>
      </c>
      <c r="AP83" s="468">
        <f>IF(C78=$AH$1,BB29,IF(C78=$AH$2,BB63,IF(C78=$AH$3,BB94,IF(C78=$AH$4,BB125,IF(C78=$AH$5,BB156,IF(C78=$AH$6,BB187,0))))))</f>
        <v>0</v>
      </c>
      <c r="AQ83" s="468"/>
      <c r="AR83" s="52"/>
      <c r="AS83" s="29">
        <v>16</v>
      </c>
      <c r="AT83" s="234" t="s">
        <v>871</v>
      </c>
      <c r="AU83" s="234" t="s">
        <v>719</v>
      </c>
      <c r="AV83" s="234" t="s">
        <v>796</v>
      </c>
      <c r="AW83" s="234">
        <v>20</v>
      </c>
      <c r="AX83" s="234">
        <v>3</v>
      </c>
      <c r="AY83" s="234">
        <v>13</v>
      </c>
      <c r="AZ83" s="234" t="s">
        <v>909</v>
      </c>
      <c r="BA83" s="234">
        <v>2</v>
      </c>
      <c r="BB83" s="234">
        <v>-4</v>
      </c>
      <c r="BC83" s="234">
        <v>12</v>
      </c>
      <c r="BD83" s="234">
        <v>60</v>
      </c>
      <c r="BE83" s="375">
        <f t="shared" si="91"/>
        <v>11</v>
      </c>
      <c r="BF83" s="234">
        <v>15</v>
      </c>
      <c r="BG83" s="29"/>
      <c r="BH83" s="29"/>
      <c r="BI83" s="408"/>
      <c r="BJ83" s="409"/>
      <c r="BK83" s="408"/>
      <c r="BL83" s="408"/>
      <c r="BM83" s="408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401" t="s">
        <v>1525</v>
      </c>
      <c r="CB83" s="394" t="s">
        <v>847</v>
      </c>
      <c r="CC83" s="395" t="s">
        <v>1573</v>
      </c>
      <c r="CD83" s="403"/>
      <c r="CE83" s="394" t="s">
        <v>1576</v>
      </c>
      <c r="CF83" s="394" t="s">
        <v>1575</v>
      </c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428"/>
      <c r="DT83" s="428"/>
      <c r="DU83" s="428"/>
      <c r="DV83" s="428"/>
      <c r="DW83" s="428"/>
      <c r="DX83" s="428"/>
      <c r="DY83" s="428"/>
      <c r="DZ83" s="428"/>
      <c r="EA83" s="29"/>
      <c r="EB83" s="428"/>
      <c r="EC83" s="428"/>
      <c r="ED83" s="428"/>
      <c r="EE83" s="428"/>
      <c r="EF83" s="428"/>
      <c r="EG83" s="428"/>
      <c r="EH83" s="428"/>
      <c r="EI83" s="428"/>
      <c r="EJ83" s="428"/>
      <c r="EK83" s="428"/>
      <c r="EL83" s="428"/>
      <c r="EM83" s="428"/>
      <c r="EN83" s="29"/>
      <c r="EO83" s="29"/>
      <c r="EP83" s="29"/>
      <c r="EQ83" s="29"/>
      <c r="ER83" s="29"/>
      <c r="ES83" s="29"/>
      <c r="ET83" s="29"/>
      <c r="EU83" s="29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</row>
    <row r="84" spans="1:168" ht="15.95" customHeight="1" thickBot="1" x14ac:dyDescent="0.3">
      <c r="A84" s="532" t="s">
        <v>428</v>
      </c>
      <c r="B84" s="532"/>
      <c r="C84" s="532"/>
      <c r="D84" s="388">
        <f>IF(Y81="Single Shot","N/A",D80+F80+H80+J80+L80+N80+P80+IF(-1*IF(AP93="Yes",Y83,2*Y83)&gt;R80+S80,IF(AP93="Yes",Y83,2*Y83)+R80+S80,0))</f>
        <v>-5</v>
      </c>
      <c r="E84" s="30"/>
      <c r="F84" s="532" t="s">
        <v>432</v>
      </c>
      <c r="G84" s="532"/>
      <c r="H84" s="532"/>
      <c r="I84" s="532"/>
      <c r="J84" s="532"/>
      <c r="K84" s="533"/>
      <c r="L84" s="388">
        <f>IF(OR(Y81="Burst",Y81="Single Shot",Y81="Semi-Automatic"),"N/A",D80+F80+H80+J80+L80+N80+P80+IF(-3*IF(AP93="Yes",Y83,2*Y83)&gt;R80+S80,3*IF(AP93="Yes",Y83,2*Y83)+R80+S80,0))</f>
        <v>-5</v>
      </c>
      <c r="M84" s="30"/>
      <c r="N84" s="30"/>
      <c r="O84" s="29"/>
      <c r="P84" s="525"/>
      <c r="Q84" s="525"/>
      <c r="R84" s="525"/>
      <c r="S84" s="525"/>
      <c r="T84" s="525"/>
      <c r="U84" s="525"/>
      <c r="V84" s="525"/>
      <c r="W84" s="30"/>
      <c r="X84" s="370" t="s">
        <v>191</v>
      </c>
      <c r="Y84" s="468">
        <f t="shared" si="98"/>
        <v>0</v>
      </c>
      <c r="Z84" s="468"/>
      <c r="AA84" s="30"/>
      <c r="AB84" s="471"/>
      <c r="AC84" s="471"/>
      <c r="AD84" s="471"/>
      <c r="AE84" s="471"/>
      <c r="AF84" s="471"/>
      <c r="AG84" s="52"/>
      <c r="AH84" s="52"/>
      <c r="AI84" s="52"/>
      <c r="AJ84" s="52"/>
      <c r="AK84" s="52"/>
      <c r="AL84" s="29">
        <v>1</v>
      </c>
      <c r="AM84" s="376" t="str">
        <f t="shared" ref="AM84:AM93" si="99">IF($C$78=$AH$1,AT3,IF($C$78=$AH$2,AT34,IF($C$78=$AH$3,AT68,IF($C$78=$AH$4,AT99,IF($C$78=$AH$5,AT130,IF($C$78=$AH$6,AT161,IF($C$78=$AH$7,"Ranged Touch"," ")))))))</f>
        <v xml:space="preserve"> </v>
      </c>
      <c r="AN84" s="52"/>
      <c r="AO84" s="391" t="s">
        <v>191</v>
      </c>
      <c r="AP84" s="468">
        <f>ROUND((IF(C78=$AH$1,BC29,IF(C78=$AH$2,BC63,IF(C78=$AH$3,BC94,IF(C78=$AH$4,BC125,IF(C78=$AH$5,BC156,IF(C78=$AH$6,BC187,0))))))+IF(BJ42="Ammo +5",5,0)+IF(BK42="Ammo +5",5,0)+IF(BL42="Ammo +5",5,0)+IF(BM42="Ammo +5",5,0)+IF(BJ42="Ammo +6",6,0)+IF(BK42="Ammo +6",6,0)+IF(BL42="Ammo +6",6,0)+IF(BM42="Ammo +6",6,0))*(1+IF(N78=CS25,0.1,0)+IF(S78=CS25,0.1,0)+IF(W78=CS25,0.1,0)+IF(N78=CS26,0.2,0)+IF(S78=CS26,0.2,0)+IF(W78=CS26,0.2,0)+IF(N78=CS27,0.3,0)+IF(S78=CS27,0.3,0)+IF(W78=CS27,0.3,0)+IF(N78=CS28,0.4,0)+IF(S78=CS28,0.4,0)+IF(W78=CS28,0.4,0)+IF(N78=CS29,0.5,0)+IF(S78=CS29,0.5,0)+IF(W78=CS29,0.5,0)+IF(AB27=DS51,0.2,0)),0)</f>
        <v>0</v>
      </c>
      <c r="AQ84" s="468"/>
      <c r="AR84" s="52"/>
      <c r="AS84" s="29">
        <v>17</v>
      </c>
      <c r="AT84" s="234" t="s">
        <v>1434</v>
      </c>
      <c r="AU84" s="234"/>
      <c r="AV84" s="234"/>
      <c r="AW84" s="234"/>
      <c r="AX84" s="234"/>
      <c r="AY84" s="234"/>
      <c r="AZ84" s="234"/>
      <c r="BA84" s="234"/>
      <c r="BB84" s="234"/>
      <c r="BC84" s="234"/>
      <c r="BD84" s="234"/>
      <c r="BE84" s="375"/>
      <c r="BF84" s="234"/>
      <c r="BG84" s="29"/>
      <c r="BH84" s="29"/>
      <c r="BI84" s="408"/>
      <c r="BJ84" s="409"/>
      <c r="BK84" s="408"/>
      <c r="BL84" s="408"/>
      <c r="BM84" s="408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401"/>
      <c r="CB84" s="401"/>
      <c r="CC84" s="401"/>
      <c r="CD84" s="401"/>
      <c r="CE84" s="401"/>
      <c r="CF84" s="401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428"/>
      <c r="DT84" s="428"/>
      <c r="DU84" s="428"/>
      <c r="DV84" s="428"/>
      <c r="DW84" s="428"/>
      <c r="DX84" s="428"/>
      <c r="DY84" s="428"/>
      <c r="DZ84" s="428"/>
      <c r="EA84" s="29"/>
      <c r="EB84" s="428"/>
      <c r="EC84" s="428"/>
      <c r="ED84" s="428"/>
      <c r="EE84" s="428"/>
      <c r="EF84" s="428"/>
      <c r="EG84" s="428"/>
      <c r="EH84" s="428"/>
      <c r="EI84" s="428"/>
      <c r="EJ84" s="428"/>
      <c r="EK84" s="428"/>
      <c r="EL84" s="428"/>
      <c r="EM84" s="428"/>
      <c r="EN84" s="29"/>
      <c r="EO84" s="29"/>
      <c r="EP84" s="29"/>
      <c r="EQ84" s="29"/>
      <c r="ER84" s="29"/>
      <c r="ES84" s="29"/>
      <c r="ET84" s="29"/>
      <c r="EU84" s="29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</row>
    <row r="85" spans="1:168" ht="15.95" customHeight="1" thickBot="1" x14ac:dyDescent="0.3">
      <c r="A85" s="532" t="s">
        <v>429</v>
      </c>
      <c r="B85" s="532"/>
      <c r="C85" s="532"/>
      <c r="D85" s="388">
        <f>IF(Y81="Single Shot","N/A",D80+F80+H80+J80+L80+N80+P80+IF(-2*IF(AP93="Yes",Y83,2*Y83)&gt;R80+S80,2*IF(AP93="Yes",Y83,2*Y83)+R80+S80,0))</f>
        <v>-5</v>
      </c>
      <c r="E85" s="30"/>
      <c r="F85" s="30"/>
      <c r="G85" s="30"/>
      <c r="H85" s="30"/>
      <c r="I85" s="30"/>
      <c r="J85" s="30"/>
      <c r="K85" s="528" t="s">
        <v>433</v>
      </c>
      <c r="L85" s="528"/>
      <c r="M85" s="528"/>
      <c r="N85" s="30"/>
      <c r="O85" s="29"/>
      <c r="P85" s="525"/>
      <c r="Q85" s="525"/>
      <c r="R85" s="525"/>
      <c r="S85" s="525"/>
      <c r="T85" s="525"/>
      <c r="U85" s="525"/>
      <c r="V85" s="525"/>
      <c r="W85" s="30"/>
      <c r="X85" s="370" t="s">
        <v>583</v>
      </c>
      <c r="Y85" s="468">
        <f t="shared" si="98"/>
        <v>0</v>
      </c>
      <c r="Z85" s="468"/>
      <c r="AA85" s="30"/>
      <c r="AB85" s="471"/>
      <c r="AC85" s="471"/>
      <c r="AD85" s="471"/>
      <c r="AE85" s="471"/>
      <c r="AF85" s="471"/>
      <c r="AG85" s="52"/>
      <c r="AH85" s="52"/>
      <c r="AI85" s="52"/>
      <c r="AJ85" s="52"/>
      <c r="AK85" s="52"/>
      <c r="AL85" s="29">
        <v>2</v>
      </c>
      <c r="AM85" s="376" t="str">
        <f t="shared" si="99"/>
        <v xml:space="preserve"> </v>
      </c>
      <c r="AN85" s="52"/>
      <c r="AO85" s="391" t="s">
        <v>583</v>
      </c>
      <c r="AP85" s="468">
        <f>MROUND((IF(C78=$AH$1,BD29,IF(C78=$AH$2,BD63,IF(C78=$AH$3,BD94,IF(C78=$AH$4,BD125,IF(C78=$AH$5,BD156,IF(C78=$AH$6,BD187,0))))))+IF(BJ42="Range +10",10,0)+IF(BK42="Range +10",10,0)+IF(BL42="Range +10",10,0)+IF(BM42="Range +10",10,0)+IF(BJ42="Range +5",5,0)+IF(BK42="Range +5",5,0)+IF(BL42="Range +5",5,0)+IF(BM42="Range +5",5,0))*(1+IF(N78=CS21,0.5,0)+IF(S78=CS21,0.5,0)+IF(W78=CS21,0.5,0)+IF(N78=DA8,0.1,0)+IF(S78=DA8,0.1,0)+IF(W78=DA8,0.1,0)+IF(N78=DA9,0.2,0)+IF(S78=DA9,0.2,0)+IF(W78=DA9,0.2,0)+IF(N78=DA10,0.3,0)+IF(S78=DA10,0.3,0)+IF(W78=DA10,0.3,0)+IF(N78=DA11,0.4,0)+IF(S78=DA11,0.4,0)+IF(W78=DA11,0.4,0)+IF(N78=DA12,0.5,0)+IF(S78=DA12,0.5,0)+IF(W78=DA12,0.5,0)+IF(N78=CV20,0.25,0)+IF(S78=CV20,0.25,0)+IF(W78=CV20,0.25,0)),5)</f>
        <v>0</v>
      </c>
      <c r="AQ85" s="468"/>
      <c r="AR85" s="52"/>
      <c r="AS85" s="29">
        <v>18</v>
      </c>
      <c r="AT85" s="234" t="s">
        <v>1517</v>
      </c>
      <c r="AU85" s="234" t="s">
        <v>541</v>
      </c>
      <c r="AV85" s="234" t="s">
        <v>799</v>
      </c>
      <c r="AW85" s="234">
        <v>20</v>
      </c>
      <c r="AX85" s="234">
        <v>3</v>
      </c>
      <c r="AY85" s="234">
        <v>13</v>
      </c>
      <c r="AZ85" s="234" t="s">
        <v>909</v>
      </c>
      <c r="BA85" s="234">
        <v>5</v>
      </c>
      <c r="BB85" s="234">
        <v>-2</v>
      </c>
      <c r="BC85" s="234">
        <v>25</v>
      </c>
      <c r="BD85" s="234">
        <v>60</v>
      </c>
      <c r="BE85" s="375">
        <f t="shared" si="91"/>
        <v>13</v>
      </c>
      <c r="BF85" s="234">
        <v>18</v>
      </c>
      <c r="BG85" s="29"/>
      <c r="BH85" s="29"/>
      <c r="BI85" s="408"/>
      <c r="BJ85" s="409"/>
      <c r="BK85" s="408"/>
      <c r="BL85" s="408"/>
      <c r="BM85" s="408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636" t="s">
        <v>874</v>
      </c>
      <c r="CB85" s="637"/>
      <c r="CC85" s="637"/>
      <c r="CD85" s="637"/>
      <c r="CE85" s="637"/>
      <c r="CF85" s="638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428"/>
      <c r="DT85" s="428"/>
      <c r="DU85" s="428"/>
      <c r="DV85" s="428"/>
      <c r="DW85" s="428"/>
      <c r="DX85" s="428"/>
      <c r="DY85" s="428"/>
      <c r="DZ85" s="428"/>
      <c r="EA85" s="29"/>
      <c r="EB85" s="428"/>
      <c r="EC85" s="428"/>
      <c r="ED85" s="428"/>
      <c r="EE85" s="428"/>
      <c r="EF85" s="428"/>
      <c r="EG85" s="428"/>
      <c r="EH85" s="428"/>
      <c r="EI85" s="428"/>
      <c r="EJ85" s="428"/>
      <c r="EK85" s="428"/>
      <c r="EL85" s="428"/>
      <c r="EM85" s="428"/>
      <c r="EN85" s="29"/>
      <c r="EO85" s="29"/>
      <c r="EP85" s="29"/>
      <c r="EQ85" s="29"/>
      <c r="ER85" s="29"/>
      <c r="ES85" s="29"/>
      <c r="ET85" s="29"/>
      <c r="EU85" s="29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</row>
    <row r="86" spans="1:168" ht="15.95" customHeight="1" thickBot="1" x14ac:dyDescent="0.3">
      <c r="A86" s="30"/>
      <c r="B86" s="30"/>
      <c r="C86" s="528" t="s">
        <v>433</v>
      </c>
      <c r="D86" s="528"/>
      <c r="E86" s="528"/>
      <c r="F86" s="30"/>
      <c r="G86" s="30"/>
      <c r="H86" s="30"/>
      <c r="I86" s="30"/>
      <c r="J86" s="30"/>
      <c r="K86" s="30"/>
      <c r="L86" s="30"/>
      <c r="M86" s="30"/>
      <c r="N86" s="30"/>
      <c r="O86" s="29"/>
      <c r="P86" s="525"/>
      <c r="Q86" s="525"/>
      <c r="R86" s="525"/>
      <c r="S86" s="525"/>
      <c r="T86" s="525"/>
      <c r="U86" s="525"/>
      <c r="V86" s="525"/>
      <c r="W86" s="30"/>
      <c r="X86" s="370" t="s">
        <v>771</v>
      </c>
      <c r="Y86" s="468">
        <f t="shared" si="98"/>
        <v>0</v>
      </c>
      <c r="Z86" s="468"/>
      <c r="AA86" s="30"/>
      <c r="AB86" s="471"/>
      <c r="AC86" s="471"/>
      <c r="AD86" s="471"/>
      <c r="AE86" s="471"/>
      <c r="AF86" s="471"/>
      <c r="AG86" s="52"/>
      <c r="AH86" s="52"/>
      <c r="AI86" s="52"/>
      <c r="AJ86" s="52"/>
      <c r="AK86" s="52"/>
      <c r="AL86" s="29">
        <v>3</v>
      </c>
      <c r="AM86" s="376" t="str">
        <f t="shared" si="99"/>
        <v xml:space="preserve"> </v>
      </c>
      <c r="AN86" s="52"/>
      <c r="AO86" s="391" t="s">
        <v>771</v>
      </c>
      <c r="AP86" s="469">
        <f>(IF($B$2=$AI$28,IF(C78=$AH$1,BE29,IF(C78=$AH$2,BE63,IF(C78=$AH$3,BE94,IF(C78=$AH$4,BE125,IF(C78=$AH$5,BE156,IF(C78=$AH$6,BE187,0)))))),IF(C78=$AH$1,BF29,IF(C78=$AH$2,BF63,IF(C78=$AH$3,BF94,IF(C78=$AH$4,BF125,IF(C78=$AH$5,BF156,IF(C78=$AH$6,BF187,0))))))))*(1-IF(L78=$CB$5,0.05,IF(L78=$CC$5,0.1,IF(L78=$CD$5,0.15,IF(L78=$CE$5,0.2,IF(L78=$CF$5,0.25,0)))))+IF(OR(N78=CY13,N78=CY14,N78=CY15,N78=CY16,N78=CY17),0.25,0)+IF(OR(S78=CY13,S78=CY14,S78=CY15,S78=CY16,S78=CY17),0.25,0)+IF(OR(W78=CY13,W78=CY14,W78=CY15,W78=CY16,W78=CY17),0.25,0)-IF(N78=CS41,0.1,0)-IF(S78=CS41,0.1,0)-IF(W78=CS41,0.1,0)-IF(N78=CS42,0.2,0)-IF(S78=CS42,0.2,0)-IF(W78=CS42,0.2,0)-IF(N78=CS43,0.3,0)-IF(S78=CS43,0.3,0)-IF(W78=CS43,0.3,0)-IF(N78=CS44,0.4,0)-IF(S78=CS44,0.4,0)-IF(W78=CS44,0.4,0)-IF(N78=CS45,0.5,0)-IF(S78=CS45,0.5,0)-IF(W78=CS45,0.5,0))</f>
        <v>0</v>
      </c>
      <c r="AQ86" s="470"/>
      <c r="AR86" s="52"/>
      <c r="AS86" s="29">
        <v>19</v>
      </c>
      <c r="AT86" s="234" t="s">
        <v>1518</v>
      </c>
      <c r="AU86" s="234" t="s">
        <v>509</v>
      </c>
      <c r="AV86" s="234" t="s">
        <v>719</v>
      </c>
      <c r="AW86" s="234">
        <v>20</v>
      </c>
      <c r="AX86" s="234">
        <v>2</v>
      </c>
      <c r="AY86" s="234">
        <v>13</v>
      </c>
      <c r="AZ86" s="234" t="s">
        <v>1551</v>
      </c>
      <c r="BA86" s="234">
        <v>2</v>
      </c>
      <c r="BB86" s="234">
        <v>-2</v>
      </c>
      <c r="BC86" s="234">
        <v>12</v>
      </c>
      <c r="BD86" s="234">
        <v>60</v>
      </c>
      <c r="BE86" s="375">
        <f t="shared" si="91"/>
        <v>12</v>
      </c>
      <c r="BF86" s="234">
        <v>17</v>
      </c>
      <c r="BG86" s="29"/>
      <c r="BH86" s="29"/>
      <c r="BI86" s="412"/>
      <c r="BJ86" s="409"/>
      <c r="BK86" s="408"/>
      <c r="BL86" s="408"/>
      <c r="BM86" s="408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397"/>
      <c r="CB86" s="405" t="s">
        <v>875</v>
      </c>
      <c r="CC86" s="405" t="s">
        <v>876</v>
      </c>
      <c r="CD86" s="405" t="s">
        <v>877</v>
      </c>
      <c r="CE86" s="405" t="s">
        <v>878</v>
      </c>
      <c r="CF86" s="405" t="s">
        <v>879</v>
      </c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428"/>
      <c r="DT86" s="428"/>
      <c r="DU86" s="428"/>
      <c r="DV86" s="428"/>
      <c r="DW86" s="428"/>
      <c r="DX86" s="428"/>
      <c r="DY86" s="428"/>
      <c r="DZ86" s="428"/>
      <c r="EA86" s="29"/>
      <c r="EB86" s="428"/>
      <c r="EC86" s="428"/>
      <c r="ED86" s="428"/>
      <c r="EE86" s="428"/>
      <c r="EF86" s="428"/>
      <c r="EG86" s="428"/>
      <c r="EH86" s="428"/>
      <c r="EI86" s="428"/>
      <c r="EJ86" s="428"/>
      <c r="EK86" s="428"/>
      <c r="EL86" s="428"/>
      <c r="EM86" s="428"/>
      <c r="EN86" s="29"/>
      <c r="EO86" s="29"/>
      <c r="EP86" s="29"/>
      <c r="EQ86" s="29"/>
      <c r="ER86" s="29"/>
      <c r="ES86" s="29"/>
      <c r="ET86" s="29"/>
      <c r="EU86" s="29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</row>
    <row r="87" spans="1:168" ht="15.95" customHeight="1" x14ac:dyDescent="0.25">
      <c r="A87" s="501" t="s">
        <v>201</v>
      </c>
      <c r="B87" s="501"/>
      <c r="C87" s="501"/>
      <c r="D87" s="468">
        <f>AP87</f>
        <v>0</v>
      </c>
      <c r="E87" s="468"/>
      <c r="F87" s="468"/>
      <c r="G87" s="367" t="s">
        <v>7</v>
      </c>
      <c r="H87" s="525"/>
      <c r="I87" s="525"/>
      <c r="J87" s="525"/>
      <c r="K87" s="367" t="s">
        <v>7</v>
      </c>
      <c r="L87" s="543"/>
      <c r="M87" s="543"/>
      <c r="N87" s="543"/>
      <c r="O87" s="29"/>
      <c r="P87" s="526" t="s">
        <v>86</v>
      </c>
      <c r="Q87" s="526"/>
      <c r="R87" s="526"/>
      <c r="S87" s="526"/>
      <c r="T87" s="526"/>
      <c r="U87" s="526"/>
      <c r="V87" s="526"/>
      <c r="W87" s="29"/>
      <c r="X87" s="29"/>
      <c r="Y87" s="29"/>
      <c r="Z87" s="29"/>
      <c r="AA87" s="30"/>
      <c r="AB87" s="471"/>
      <c r="AC87" s="471"/>
      <c r="AD87" s="471"/>
      <c r="AE87" s="471"/>
      <c r="AF87" s="471"/>
      <c r="AG87" s="52"/>
      <c r="AH87" s="52"/>
      <c r="AI87" s="52"/>
      <c r="AJ87" s="52"/>
      <c r="AK87" s="52"/>
      <c r="AL87" s="29">
        <v>4</v>
      </c>
      <c r="AM87" s="376" t="str">
        <f t="shared" si="99"/>
        <v xml:space="preserve"> </v>
      </c>
      <c r="AN87" s="52"/>
      <c r="AO87" s="391" t="s">
        <v>467</v>
      </c>
      <c r="AP87" s="469">
        <f>IF($B$2=$AI$28,IF(C78=$AH$1,AU29,IF(C78=$AH$2,AU63,IF(C78=$AH$3,AU94,IF(C78=$AH$4,AU125,IF(C78=$AH$5,AU156,IF(C78=$AH$6,AU187,0)))))),IF(C78=$AH$1,AV29,IF(C78=$AH$2,AV63,IF(C78=$AH$3,AV94,IF(C78=$AH$4,AV125,IF(C78=$AH$5,AV156,IF(C78=$AH$6,AV187,0)))))))</f>
        <v>0</v>
      </c>
      <c r="AQ87" s="470"/>
      <c r="AR87" s="52"/>
      <c r="AS87" s="29">
        <v>20</v>
      </c>
      <c r="AT87" s="234" t="s">
        <v>1526</v>
      </c>
      <c r="AU87" s="234" t="s">
        <v>541</v>
      </c>
      <c r="AV87" s="234" t="s">
        <v>799</v>
      </c>
      <c r="AW87" s="234">
        <v>20</v>
      </c>
      <c r="AX87" s="234">
        <v>2</v>
      </c>
      <c r="AY87" s="234">
        <v>15</v>
      </c>
      <c r="AZ87" s="234" t="s">
        <v>909</v>
      </c>
      <c r="BA87" s="234">
        <v>10</v>
      </c>
      <c r="BB87" s="234">
        <v>-4</v>
      </c>
      <c r="BC87" s="234">
        <v>120</v>
      </c>
      <c r="BD87" s="234">
        <v>60</v>
      </c>
      <c r="BE87" s="375">
        <f t="shared" si="91"/>
        <v>24</v>
      </c>
      <c r="BF87" s="234">
        <v>30</v>
      </c>
      <c r="BG87" s="29"/>
      <c r="BH87" s="29"/>
      <c r="BI87" s="412"/>
      <c r="BJ87" s="409"/>
      <c r="BK87" s="408"/>
      <c r="BL87" s="408"/>
      <c r="BM87" s="408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397" t="s">
        <v>884</v>
      </c>
      <c r="CB87" s="480" t="s">
        <v>880</v>
      </c>
      <c r="CC87" s="480"/>
      <c r="CD87" s="480"/>
      <c r="CE87" s="480"/>
      <c r="CF87" s="480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428"/>
      <c r="DT87" s="428"/>
      <c r="DU87" s="428"/>
      <c r="DV87" s="428"/>
      <c r="DW87" s="428"/>
      <c r="DX87" s="428"/>
      <c r="DY87" s="428"/>
      <c r="DZ87" s="428"/>
      <c r="EA87" s="29"/>
      <c r="EB87" s="428"/>
      <c r="EC87" s="428"/>
      <c r="ED87" s="428"/>
      <c r="EE87" s="428"/>
      <c r="EF87" s="428"/>
      <c r="EG87" s="428"/>
      <c r="EH87" s="428"/>
      <c r="EI87" s="428"/>
      <c r="EJ87" s="428"/>
      <c r="EK87" s="428"/>
      <c r="EL87" s="428"/>
      <c r="EM87" s="428"/>
      <c r="EN87" s="29"/>
      <c r="EO87" s="29"/>
      <c r="EP87" s="29"/>
      <c r="EQ87" s="29"/>
      <c r="ER87" s="29"/>
      <c r="ES87" s="29"/>
      <c r="ET87" s="29"/>
      <c r="EU87" s="29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</row>
    <row r="88" spans="1:168" ht="15.95" customHeight="1" x14ac:dyDescent="0.25">
      <c r="A88" s="29"/>
      <c r="B88" s="29"/>
      <c r="C88" s="29"/>
      <c r="D88" s="524" t="s">
        <v>2</v>
      </c>
      <c r="E88" s="524"/>
      <c r="F88" s="524"/>
      <c r="G88" s="44"/>
      <c r="H88" s="529" t="s">
        <v>891</v>
      </c>
      <c r="I88" s="529"/>
      <c r="J88" s="529"/>
      <c r="K88" s="529"/>
      <c r="L88" s="529"/>
      <c r="M88" s="529"/>
      <c r="N88" s="529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471"/>
      <c r="AC88" s="471"/>
      <c r="AD88" s="471"/>
      <c r="AE88" s="471"/>
      <c r="AF88" s="471"/>
      <c r="AG88" s="52"/>
      <c r="AH88" s="52"/>
      <c r="AI88" s="52"/>
      <c r="AJ88" s="52"/>
      <c r="AK88" s="52"/>
      <c r="AL88" s="29">
        <v>5</v>
      </c>
      <c r="AM88" s="376" t="str">
        <f t="shared" si="99"/>
        <v xml:space="preserve"> </v>
      </c>
      <c r="AN88" s="52"/>
      <c r="AO88" s="391" t="s">
        <v>1570</v>
      </c>
      <c r="AP88" s="469" t="str">
        <f>AQ89&amp;"20/×"&amp;AP90</f>
        <v>0-20/×0</v>
      </c>
      <c r="AQ88" s="470"/>
      <c r="AR88" s="52"/>
      <c r="AS88" s="29">
        <v>21</v>
      </c>
      <c r="AT88" s="234" t="s">
        <v>1519</v>
      </c>
      <c r="AU88" s="234" t="s">
        <v>799</v>
      </c>
      <c r="AV88" s="234" t="s">
        <v>509</v>
      </c>
      <c r="AW88" s="234">
        <v>20</v>
      </c>
      <c r="AX88" s="234">
        <v>3</v>
      </c>
      <c r="AY88" s="234">
        <v>12</v>
      </c>
      <c r="AZ88" s="234" t="s">
        <v>434</v>
      </c>
      <c r="BA88" s="234">
        <v>3</v>
      </c>
      <c r="BB88" s="234">
        <v>-1</v>
      </c>
      <c r="BC88" s="234">
        <v>18</v>
      </c>
      <c r="BD88" s="234">
        <v>50</v>
      </c>
      <c r="BE88" s="375">
        <f t="shared" si="91"/>
        <v>9</v>
      </c>
      <c r="BF88" s="234">
        <v>12</v>
      </c>
      <c r="BG88" s="29"/>
      <c r="BH88" s="29"/>
      <c r="BI88" s="412"/>
      <c r="BJ88" s="409"/>
      <c r="BK88" s="408"/>
      <c r="BL88" s="408"/>
      <c r="BM88" s="408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394" t="s">
        <v>870</v>
      </c>
      <c r="CB88" s="394" t="s">
        <v>847</v>
      </c>
      <c r="CC88" s="394"/>
      <c r="CD88" s="394" t="s">
        <v>1575</v>
      </c>
      <c r="CE88" s="394"/>
      <c r="CF88" s="394" t="s">
        <v>1578</v>
      </c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428"/>
      <c r="DT88" s="428"/>
      <c r="DU88" s="428"/>
      <c r="DV88" s="428"/>
      <c r="DW88" s="428"/>
      <c r="DX88" s="428"/>
      <c r="DY88" s="428"/>
      <c r="DZ88" s="428"/>
      <c r="EA88" s="29"/>
      <c r="EB88" s="428"/>
      <c r="EC88" s="428"/>
      <c r="ED88" s="428"/>
      <c r="EE88" s="428"/>
      <c r="EF88" s="428"/>
      <c r="EG88" s="428"/>
      <c r="EH88" s="428"/>
      <c r="EI88" s="428"/>
      <c r="EJ88" s="428"/>
      <c r="EK88" s="428"/>
      <c r="EL88" s="428"/>
      <c r="EM88" s="428"/>
      <c r="EN88" s="29"/>
      <c r="EO88" s="29"/>
      <c r="EP88" s="29"/>
      <c r="EQ88" s="29"/>
      <c r="ER88" s="29"/>
      <c r="ES88" s="29"/>
      <c r="ET88" s="29"/>
      <c r="EU88" s="29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</row>
    <row r="89" spans="1:168" ht="15.9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471"/>
      <c r="AC89" s="471"/>
      <c r="AD89" s="471"/>
      <c r="AE89" s="471"/>
      <c r="AF89" s="471"/>
      <c r="AG89" s="52"/>
      <c r="AH89" s="52"/>
      <c r="AI89" s="52"/>
      <c r="AJ89" s="52"/>
      <c r="AK89" s="52"/>
      <c r="AL89" s="29">
        <v>6</v>
      </c>
      <c r="AM89" s="376" t="str">
        <f t="shared" si="99"/>
        <v xml:space="preserve"> </v>
      </c>
      <c r="AN89" s="52"/>
      <c r="AO89" s="29" t="s">
        <v>1571</v>
      </c>
      <c r="AP89" s="388">
        <f>IF(C78=$AH$1,AW29,IF(C78=$AH$2,AW63,IF(C78=$AH$3,AW94,IF(C78=$AH$4,AW125,IF(C78=$AH$5,AW156,IF(C78=$AH$6,AW187,0))))))-IF(BJ42="Threat range +1",1,0)-IF(BK42="Threat range +1",1,0)-IF(BL42="Threat range +1",1,0)-IF(BM42="Threat range +1",1,0)-IF(N78=CS11,1,0)-IF(S78=CS11,1,0)-IF(W78=CS11,1,0)-IF(N78=CS30,1,0)-IF(S78=CS30,1,0)-IF(W78=CS30,1,0)-IF(N78=CV11,1,0)-IF(S78=CV11,1,0)-IF(W78=CV11,1,0)-IF(N78=CY12,1,0)-IF(S78=CY12,1,0)-IF(W78=CY12,1,0)-IF(N78=CY17,1,0)-IF(S78=CY17,1,0)-IF(W78=CY17,1,0)-IF(N78=DA33,1,0)-IF(S78=DA33,1,0)-IF(W78=DA33,1,0)-IF(N78=DC7,1,0)-IF(S78=DC7,1,0)-IF(W78=DC7,1,0)-IF(AB27=DS30,1,0)-IF(AB27=DS59,2,0)-IF(Z34=DW149,1,0)-IF(Z35=DW165,1,0)-IF(AND(C78=AH1,Feats!E46=1),1,0)-IF(AND(C78=AH2,Feats!E47=1),1,0)-IF(AND(C78=AH3,Feats!E48=1),1,0)-IF(AND(C78=AH4,Feats!E49=1),1,0)-IF(AND(C78=AH5,Feats!E50=1),1,0)-IF(AND(C78=AH6,Feats!E51=1),1,0)</f>
        <v>0</v>
      </c>
      <c r="AQ89" s="388" t="str">
        <f>IF(AP89&gt;=20," ",AP89&amp;"-")</f>
        <v>0-</v>
      </c>
      <c r="AR89" s="52"/>
      <c r="AS89" s="29">
        <v>22</v>
      </c>
      <c r="AT89" s="234" t="s">
        <v>1520</v>
      </c>
      <c r="AU89" s="234" t="s">
        <v>541</v>
      </c>
      <c r="AV89" s="234" t="s">
        <v>799</v>
      </c>
      <c r="AW89" s="234">
        <v>20</v>
      </c>
      <c r="AX89" s="234">
        <v>2</v>
      </c>
      <c r="AY89" s="234">
        <v>11</v>
      </c>
      <c r="AZ89" s="234" t="s">
        <v>909</v>
      </c>
      <c r="BA89" s="234">
        <v>5</v>
      </c>
      <c r="BB89" s="234">
        <v>-3</v>
      </c>
      <c r="BC89" s="234">
        <v>20</v>
      </c>
      <c r="BD89" s="234">
        <v>60</v>
      </c>
      <c r="BE89" s="375">
        <f t="shared" si="91"/>
        <v>11</v>
      </c>
      <c r="BF89" s="234">
        <v>15</v>
      </c>
      <c r="BG89" s="29"/>
      <c r="BH89" s="29"/>
      <c r="BI89" s="412"/>
      <c r="BJ89" s="409"/>
      <c r="BK89" s="408"/>
      <c r="BL89" s="408"/>
      <c r="BM89" s="408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394" t="s">
        <v>1204</v>
      </c>
      <c r="CB89" s="394" t="s">
        <v>847</v>
      </c>
      <c r="CC89" s="394"/>
      <c r="CD89" s="394" t="s">
        <v>1575</v>
      </c>
      <c r="CE89" s="395" t="s">
        <v>1573</v>
      </c>
      <c r="CF89" s="394" t="s">
        <v>1578</v>
      </c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428"/>
      <c r="DT89" s="428"/>
      <c r="DU89" s="428"/>
      <c r="DV89" s="428"/>
      <c r="DW89" s="428"/>
      <c r="DX89" s="428"/>
      <c r="DY89" s="428"/>
      <c r="DZ89" s="428"/>
      <c r="EA89" s="29"/>
      <c r="EB89" s="428"/>
      <c r="EC89" s="428"/>
      <c r="ED89" s="428"/>
      <c r="EE89" s="428"/>
      <c r="EF89" s="428"/>
      <c r="EG89" s="428"/>
      <c r="EH89" s="428"/>
      <c r="EI89" s="428"/>
      <c r="EJ89" s="428"/>
      <c r="EK89" s="428"/>
      <c r="EL89" s="428"/>
      <c r="EM89" s="428"/>
      <c r="EN89" s="29"/>
      <c r="EO89" s="29"/>
      <c r="EP89" s="29"/>
      <c r="EQ89" s="29"/>
      <c r="ER89" s="29"/>
      <c r="ES89" s="29"/>
      <c r="ET89" s="29"/>
      <c r="EU89" s="29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</row>
    <row r="90" spans="1:168" ht="15.95" customHeight="1" x14ac:dyDescent="0.25">
      <c r="A90" s="539" t="s">
        <v>272</v>
      </c>
      <c r="B90" s="539"/>
      <c r="C90" s="530"/>
      <c r="D90" s="530"/>
      <c r="E90" s="530"/>
      <c r="F90" s="530"/>
      <c r="G90" s="530"/>
      <c r="H90" s="530"/>
      <c r="I90" s="530"/>
      <c r="J90" s="530"/>
      <c r="K90" s="530"/>
      <c r="L90" s="531"/>
      <c r="M90" s="531"/>
      <c r="N90" s="531"/>
      <c r="O90" s="531"/>
      <c r="P90" s="531"/>
      <c r="Q90" s="531"/>
      <c r="R90" s="531"/>
      <c r="S90" s="604"/>
      <c r="T90" s="605"/>
      <c r="U90" s="605"/>
      <c r="V90" s="606"/>
      <c r="W90" s="472"/>
      <c r="X90" s="472"/>
      <c r="Y90" s="472"/>
      <c r="Z90" s="472"/>
      <c r="AA90" s="30"/>
      <c r="AB90" s="471"/>
      <c r="AC90" s="471"/>
      <c r="AD90" s="471"/>
      <c r="AE90" s="471"/>
      <c r="AF90" s="471"/>
      <c r="AG90" s="52"/>
      <c r="AH90" s="52"/>
      <c r="AI90" s="52"/>
      <c r="AJ90" s="52"/>
      <c r="AK90" s="52"/>
      <c r="AL90" s="29">
        <v>7</v>
      </c>
      <c r="AM90" s="376" t="str">
        <f t="shared" si="99"/>
        <v xml:space="preserve"> </v>
      </c>
      <c r="AN90" s="52"/>
      <c r="AO90" s="29" t="s">
        <v>1572</v>
      </c>
      <c r="AP90" s="388">
        <f>IF(C78=$AH$1,AX29,IF(C78=$AH$2,AX63,IF(C78=$AH$3,AX94,IF(C78=$AH$4,AX125,IF(C78=$AH$5,AX156,IF(C78=$AH$6,AX187,0))))))+IF(BJ42="Multiplier +1",1,0)+IF(BK42="Multiplier +1",1,0)+IF(BL42="Multiplier +1",1,0)+IF(BM42="Multiplier +1",1,0)+IF(N78=CS22,1,0)+IF(S78=CS22,1,0)+IF(W78=CS22,1,0)+IF(AB27=DS50,1,0)+IF(AND(C78="Melee",AB27=DS69),1,0)</f>
        <v>0</v>
      </c>
      <c r="AQ90" s="36"/>
      <c r="AR90" s="52"/>
      <c r="AS90" s="29">
        <v>23</v>
      </c>
      <c r="AT90" s="234" t="s">
        <v>1521</v>
      </c>
      <c r="AU90" s="234" t="s">
        <v>799</v>
      </c>
      <c r="AV90" s="234" t="s">
        <v>509</v>
      </c>
      <c r="AW90" s="234">
        <v>20</v>
      </c>
      <c r="AX90" s="234">
        <v>2</v>
      </c>
      <c r="AY90" s="234">
        <v>12</v>
      </c>
      <c r="AZ90" s="234" t="s">
        <v>1551</v>
      </c>
      <c r="BA90" s="234">
        <v>3</v>
      </c>
      <c r="BB90" s="234">
        <v>-3</v>
      </c>
      <c r="BC90" s="234">
        <v>24</v>
      </c>
      <c r="BD90" s="234">
        <v>50</v>
      </c>
      <c r="BE90" s="375">
        <f t="shared" si="91"/>
        <v>9</v>
      </c>
      <c r="BF90" s="234">
        <v>12</v>
      </c>
      <c r="BG90" s="29"/>
      <c r="BH90" s="29"/>
      <c r="BI90" s="412"/>
      <c r="BJ90" s="409"/>
      <c r="BK90" s="408"/>
      <c r="BL90" s="408"/>
      <c r="BM90" s="408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394" t="s">
        <v>869</v>
      </c>
      <c r="CB90" s="394" t="s">
        <v>847</v>
      </c>
      <c r="CC90" s="394"/>
      <c r="CD90" s="394" t="s">
        <v>1575</v>
      </c>
      <c r="CE90" s="394"/>
      <c r="CF90" s="394" t="s">
        <v>1578</v>
      </c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428"/>
      <c r="DT90" s="428"/>
      <c r="DU90" s="428"/>
      <c r="DV90" s="428"/>
      <c r="DW90" s="428"/>
      <c r="DX90" s="428"/>
      <c r="DY90" s="428"/>
      <c r="DZ90" s="428"/>
      <c r="EA90" s="29"/>
      <c r="EB90" s="428"/>
      <c r="EC90" s="428"/>
      <c r="ED90" s="428"/>
      <c r="EE90" s="428"/>
      <c r="EF90" s="428"/>
      <c r="EG90" s="428"/>
      <c r="EH90" s="428"/>
      <c r="EI90" s="428"/>
      <c r="EJ90" s="428"/>
      <c r="EK90" s="428"/>
      <c r="EL90" s="428"/>
      <c r="EM90" s="428"/>
      <c r="EN90" s="29"/>
      <c r="EO90" s="29"/>
      <c r="EP90" s="29"/>
      <c r="EQ90" s="29"/>
      <c r="ER90" s="29"/>
      <c r="ES90" s="29"/>
      <c r="ET90" s="29"/>
      <c r="EU90" s="29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</row>
    <row r="91" spans="1:168" ht="15.95" customHeight="1" x14ac:dyDescent="0.25">
      <c r="A91" s="226"/>
      <c r="B91" s="226"/>
      <c r="C91" s="602" t="s">
        <v>1262</v>
      </c>
      <c r="D91" s="602"/>
      <c r="E91" s="602"/>
      <c r="F91" s="602"/>
      <c r="G91" s="473" t="s">
        <v>1540</v>
      </c>
      <c r="H91" s="473"/>
      <c r="I91" s="473"/>
      <c r="J91" s="473"/>
      <c r="K91" s="473"/>
      <c r="L91" s="473" t="s">
        <v>1423</v>
      </c>
      <c r="M91" s="473"/>
      <c r="N91" s="473" t="s">
        <v>793</v>
      </c>
      <c r="O91" s="473"/>
      <c r="P91" s="473"/>
      <c r="Q91" s="473"/>
      <c r="R91" s="473"/>
      <c r="S91" s="473" t="s">
        <v>792</v>
      </c>
      <c r="T91" s="473"/>
      <c r="U91" s="473"/>
      <c r="V91" s="473"/>
      <c r="W91" s="473" t="s">
        <v>792</v>
      </c>
      <c r="X91" s="473"/>
      <c r="Y91" s="473"/>
      <c r="Z91" s="473"/>
      <c r="AA91" s="30"/>
      <c r="AB91" s="471"/>
      <c r="AC91" s="471"/>
      <c r="AD91" s="471"/>
      <c r="AE91" s="471"/>
      <c r="AF91" s="471"/>
      <c r="AG91" s="52"/>
      <c r="AH91" s="52"/>
      <c r="AI91" s="52"/>
      <c r="AJ91" s="52"/>
      <c r="AK91" s="52"/>
      <c r="AL91" s="29">
        <v>8</v>
      </c>
      <c r="AM91" s="376" t="str">
        <f t="shared" si="99"/>
        <v xml:space="preserve"> </v>
      </c>
      <c r="AN91" s="52"/>
      <c r="AO91" s="29"/>
      <c r="AP91" s="36"/>
      <c r="AQ91" s="36"/>
      <c r="AR91" s="52"/>
      <c r="AS91" s="29" t="s">
        <v>1562</v>
      </c>
      <c r="AT91" s="371" t="str">
        <f>IF($C$42=$AH$3,$G$42," ")</f>
        <v xml:space="preserve"> </v>
      </c>
      <c r="AU91" s="371">
        <f t="shared" ref="AU91:BF91" si="100">IF($AT$91=$AT$68,AU68,IF($AT$91=$AT$69,AU69,IF($AT$91=$AT$70,AU70,IF($AT$91=$AT$71,AU71,IF($AT$91=$AT$72,AU72,IF($AT$91=$AT$73,AU73,IF($AT$91=$AT$74,AU74,IF($AT$91=$AT$75,AU75,IF($AT$91=$AT$76,AU76,IF($AT$91=$AT$77,AU77,IF($AT$91=$AT$78,AU78,IF($AT$91=$AT$79,AU79,IF($AT$91=$AT$80,AU80,IF($AT$91=$AT$81,AU81,IF($AT$91=$AT$82,AU82,IF($AT$91=$AT$83,AU83,IF($AT$91=$AT$85,AU85,IF($AT$91=$AT$86,AU86,IF($AT$91=$AT$87,AU87,IF($AT$91=$AT$88,AU88,IF($AT$91=$AT$89,AU89,IF($AT$91=$AT$90,AU90,0))))))))))))))))))))))</f>
        <v>0</v>
      </c>
      <c r="AV91" s="371">
        <f t="shared" si="100"/>
        <v>0</v>
      </c>
      <c r="AW91" s="371">
        <f t="shared" si="100"/>
        <v>0</v>
      </c>
      <c r="AX91" s="371">
        <f t="shared" si="100"/>
        <v>0</v>
      </c>
      <c r="AY91" s="371">
        <f t="shared" si="100"/>
        <v>0</v>
      </c>
      <c r="AZ91" s="371">
        <f t="shared" si="100"/>
        <v>0</v>
      </c>
      <c r="BA91" s="371">
        <f t="shared" si="100"/>
        <v>0</v>
      </c>
      <c r="BB91" s="371">
        <f t="shared" si="100"/>
        <v>0</v>
      </c>
      <c r="BC91" s="371">
        <f t="shared" si="100"/>
        <v>0</v>
      </c>
      <c r="BD91" s="371">
        <f t="shared" si="100"/>
        <v>0</v>
      </c>
      <c r="BE91" s="371">
        <f t="shared" si="100"/>
        <v>0</v>
      </c>
      <c r="BF91" s="371">
        <f t="shared" si="100"/>
        <v>0</v>
      </c>
      <c r="BG91" s="29"/>
      <c r="BH91" s="29"/>
      <c r="BI91" s="412"/>
      <c r="BJ91" s="409"/>
      <c r="BK91" s="408"/>
      <c r="BL91" s="408"/>
      <c r="BM91" s="408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394" t="s">
        <v>868</v>
      </c>
      <c r="CB91" s="394" t="s">
        <v>847</v>
      </c>
      <c r="CC91" s="394"/>
      <c r="CD91" s="394" t="s">
        <v>1575</v>
      </c>
      <c r="CE91" s="394"/>
      <c r="CF91" s="394" t="s">
        <v>1578</v>
      </c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428"/>
      <c r="DT91" s="428"/>
      <c r="DU91" s="428"/>
      <c r="DV91" s="428"/>
      <c r="DW91" s="428"/>
      <c r="DX91" s="428"/>
      <c r="DY91" s="428"/>
      <c r="DZ91" s="428"/>
      <c r="EA91" s="29"/>
      <c r="EB91" s="428"/>
      <c r="EC91" s="428"/>
      <c r="ED91" s="428"/>
      <c r="EE91" s="428"/>
      <c r="EF91" s="428"/>
      <c r="EG91" s="428"/>
      <c r="EH91" s="428"/>
      <c r="EI91" s="428"/>
      <c r="EJ91" s="428"/>
      <c r="EK91" s="428"/>
      <c r="EL91" s="428"/>
      <c r="EM91" s="428"/>
      <c r="EN91" s="29"/>
      <c r="EO91" s="29"/>
      <c r="EP91" s="29"/>
      <c r="EQ91" s="29"/>
      <c r="ER91" s="29"/>
      <c r="ES91" s="29"/>
      <c r="ET91" s="29"/>
      <c r="EU91" s="29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</row>
    <row r="92" spans="1:168" ht="15.95" customHeight="1" thickBot="1" x14ac:dyDescent="0.3">
      <c r="A92" s="532" t="s">
        <v>423</v>
      </c>
      <c r="B92" s="532"/>
      <c r="C92" s="533"/>
      <c r="D92" s="366">
        <f>D80</f>
        <v>0</v>
      </c>
      <c r="E92" s="17"/>
      <c r="F92" s="366">
        <f>IF(Y92&gt;$B$6,(Y92-$B$6)*-1,0)</f>
        <v>0</v>
      </c>
      <c r="G92" s="17"/>
      <c r="H92" s="368"/>
      <c r="I92" s="17"/>
      <c r="J92" s="379">
        <f>IF(C90=$AH$6,$N$6,IF($B$1="Elcor",$N$12,$N$8))</f>
        <v>-5</v>
      </c>
      <c r="K92" s="17"/>
      <c r="L92" s="366">
        <f>IF(AND(C90=AH1,Feats!Q35=1),1,0)+IF(AND(C90=AH2,Feats!Q36=1),1,0)+IF(AND(C90=AH3,Feats!Q37=1),1,0)+IF(AND(C90=AH4,Feats!Q38=1),1,0)+IF(AND(C90=AH5,Feats!Q39=1),1,0)+IF(AND(C90=AH6,Feats!Q40=1),1,0)+IF(AND(C90=AH1,Feats!Q42=1),1,0)+IF(AND(C90=AH2,Feats!Q43=1),1,0)+IF(AND(C90=AH3,Feats!Q44=1),1,0)+IF(AND(C90=AH4,Feats!Q45=1),1,0)+IF(AND(C90=AH5,Feats!Q46=1),1,0)+IF(AND(C90=AH6,Feats!Q47=1),1,0)+IF(AND(C90=AH7,Feats!H46=1),IF($D$44&lt;=3,1,ROUNDDOWN($D$44/2,0)),0)</f>
        <v>0</v>
      </c>
      <c r="M92" s="17"/>
      <c r="N92" s="366">
        <f>IF($B$2="Fine",8,IF($B$2="Diminutive",4,IF($B$2="Tiny", 2,IF($B$2="Small",1,IF($B$2="Medium",0,IF($B$2="Large",-1,IF($B$2="Huge",-2,IF($B$2="Gargantuan",-4,IF($B$2="Colossal",-8,0)))))))))</f>
        <v>0</v>
      </c>
      <c r="O92" s="17"/>
      <c r="P92" s="368"/>
      <c r="Q92" s="29"/>
      <c r="R92" s="366">
        <f>AP118</f>
        <v>0</v>
      </c>
      <c r="S92" s="534"/>
      <c r="T92" s="535"/>
      <c r="U92" s="29"/>
      <c r="V92" s="30"/>
      <c r="W92" s="30"/>
      <c r="X92" s="370" t="s">
        <v>202</v>
      </c>
      <c r="Y92" s="468">
        <f>AP104</f>
        <v>0</v>
      </c>
      <c r="Z92" s="468"/>
      <c r="AA92" s="30"/>
      <c r="AB92" s="471"/>
      <c r="AC92" s="471"/>
      <c r="AD92" s="471"/>
      <c r="AE92" s="471"/>
      <c r="AF92" s="471"/>
      <c r="AG92" s="29"/>
      <c r="AH92" s="29"/>
      <c r="AI92" s="29"/>
      <c r="AJ92" s="29"/>
      <c r="AK92" s="29"/>
      <c r="AL92" s="29">
        <v>9</v>
      </c>
      <c r="AM92" s="376" t="str">
        <f t="shared" si="99"/>
        <v xml:space="preserve"> </v>
      </c>
      <c r="AN92" s="29"/>
      <c r="AO92" s="29"/>
      <c r="AP92" s="36" t="s">
        <v>1568</v>
      </c>
      <c r="AQ92" s="388">
        <f>IF(AND(C90=$AH$1,Feats!$Q$28=1),1,0)+IF(AND(C90=$AH$2,Feats!$Q$29=1),1,0)+IF(AND(C90=$AH$3,Feats!$Q$30=1),1,0)+IF(AND(C90=$AH$4,Feats!$Q$31=1),1,0)+IF(AND(C90=$AH$5,Feats!$Q$32=1),1,0)</f>
        <v>0</v>
      </c>
      <c r="AR92" s="29"/>
      <c r="AS92" s="29" t="s">
        <v>1563</v>
      </c>
      <c r="AT92" s="371" t="str">
        <f>IF($C$54=$AH$3,$G$54," ")</f>
        <v xml:space="preserve"> </v>
      </c>
      <c r="AU92" s="371">
        <f t="shared" ref="AU92:BF92" si="101">IF($AT$92=$AT$68,AU68,IF($AT$92=$AT$69,AU69,IF($AT$92=$AT$70,AU70,IF($AT$92=$AT$71,AU71,IF($AT$92=$AT$72,AU72,IF($AT$92=$AT$73,AU73,IF($AT$92=$AT$74,AU74,IF($AT$92=$AT$75,AU75,IF($AT$92=$AT$76,AU76,IF($AT$92=$AT$77,AU77,IF($AT$92=$AT$78,AU78,IF($AT$92=$AT$79,AU79,IF($AT$92=$AT$80,AU80,IF($AT$92=$AT$81,AU81,IF($AT$92=$AT$82,AU82,IF($AT$92=$AT$83,AU83,IF($AT$92=$AT$85,AU85,IF($AT$92=$AT$86,AU86,IF($AT$92=$AT$87,AU87,IF($AT$92=$AT$88,AU88,IF($AT$92=$AT$89,AU89,IF($AT$92=$AT$90,AU90,0))))))))))))))))))))))</f>
        <v>0</v>
      </c>
      <c r="AV92" s="371">
        <f t="shared" si="101"/>
        <v>0</v>
      </c>
      <c r="AW92" s="371">
        <f t="shared" si="101"/>
        <v>0</v>
      </c>
      <c r="AX92" s="371">
        <f t="shared" si="101"/>
        <v>0</v>
      </c>
      <c r="AY92" s="371">
        <f t="shared" si="101"/>
        <v>0</v>
      </c>
      <c r="AZ92" s="371">
        <f t="shared" si="101"/>
        <v>0</v>
      </c>
      <c r="BA92" s="371">
        <f t="shared" si="101"/>
        <v>0</v>
      </c>
      <c r="BB92" s="371">
        <f t="shared" si="101"/>
        <v>0</v>
      </c>
      <c r="BC92" s="371">
        <f t="shared" si="101"/>
        <v>0</v>
      </c>
      <c r="BD92" s="371">
        <f t="shared" si="101"/>
        <v>0</v>
      </c>
      <c r="BE92" s="371">
        <f t="shared" si="101"/>
        <v>0</v>
      </c>
      <c r="BF92" s="371">
        <f t="shared" si="101"/>
        <v>0</v>
      </c>
      <c r="BG92" s="52"/>
      <c r="BH92" s="52"/>
      <c r="BI92" s="412"/>
      <c r="BJ92" s="409"/>
      <c r="BK92" s="408"/>
      <c r="BL92" s="408"/>
      <c r="BM92" s="408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394" t="s">
        <v>838</v>
      </c>
      <c r="CB92" s="394" t="s">
        <v>847</v>
      </c>
      <c r="CC92" s="394"/>
      <c r="CD92" s="394" t="s">
        <v>1575</v>
      </c>
      <c r="CE92" s="394"/>
      <c r="CF92" s="394" t="s">
        <v>1578</v>
      </c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428"/>
      <c r="DT92" s="428"/>
      <c r="DU92" s="428"/>
      <c r="DV92" s="428"/>
      <c r="DW92" s="428"/>
      <c r="DX92" s="428"/>
      <c r="DY92" s="428"/>
      <c r="DZ92" s="428"/>
      <c r="EA92" s="29"/>
      <c r="EB92" s="428"/>
      <c r="EC92" s="428"/>
      <c r="ED92" s="428"/>
      <c r="EE92" s="428"/>
      <c r="EF92" s="428"/>
      <c r="EG92" s="428"/>
      <c r="EH92" s="428"/>
      <c r="EI92" s="428"/>
      <c r="EJ92" s="428"/>
      <c r="EK92" s="428"/>
      <c r="EL92" s="428"/>
      <c r="EM92" s="428"/>
      <c r="EN92" s="29"/>
      <c r="EO92" s="29"/>
      <c r="EP92" s="29"/>
      <c r="EQ92" s="29"/>
      <c r="ER92" s="29"/>
      <c r="ES92" s="29"/>
      <c r="ET92" s="29"/>
      <c r="EU92" s="29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</row>
    <row r="93" spans="1:168" ht="15.95" customHeight="1" thickBot="1" x14ac:dyDescent="0.3">
      <c r="A93" s="29"/>
      <c r="B93" s="29"/>
      <c r="C93" s="29"/>
      <c r="D93" s="148" t="s">
        <v>72</v>
      </c>
      <c r="E93" s="149"/>
      <c r="F93" s="148" t="s">
        <v>424</v>
      </c>
      <c r="G93" s="67"/>
      <c r="H93" s="369" t="s">
        <v>97</v>
      </c>
      <c r="I93" s="67"/>
      <c r="J93" s="369" t="s">
        <v>33</v>
      </c>
      <c r="K93" s="67"/>
      <c r="L93" s="369" t="s">
        <v>73</v>
      </c>
      <c r="M93" s="67"/>
      <c r="N93" s="369" t="s">
        <v>37</v>
      </c>
      <c r="O93" s="67"/>
      <c r="P93" s="369" t="s">
        <v>38</v>
      </c>
      <c r="Q93" s="150"/>
      <c r="R93" s="603" t="s">
        <v>425</v>
      </c>
      <c r="S93" s="603"/>
      <c r="T93" s="603"/>
      <c r="U93" s="29"/>
      <c r="V93" s="30"/>
      <c r="W93" s="30"/>
      <c r="X93" s="370" t="s">
        <v>420</v>
      </c>
      <c r="Y93" s="468">
        <f t="shared" ref="Y93:Y98" si="102">AP105</f>
        <v>0</v>
      </c>
      <c r="Z93" s="468"/>
      <c r="AA93" s="30"/>
      <c r="AB93" s="471"/>
      <c r="AC93" s="471"/>
      <c r="AD93" s="471"/>
      <c r="AE93" s="471"/>
      <c r="AF93" s="471"/>
      <c r="AG93" s="29"/>
      <c r="AH93" s="29"/>
      <c r="AI93" s="29"/>
      <c r="AJ93" s="29"/>
      <c r="AK93" s="29"/>
      <c r="AL93" s="29">
        <v>10</v>
      </c>
      <c r="AM93" s="376" t="str">
        <f t="shared" si="99"/>
        <v xml:space="preserve"> </v>
      </c>
      <c r="AN93" s="29"/>
      <c r="AO93" s="390" t="s">
        <v>1567</v>
      </c>
      <c r="AP93" s="469">
        <f>IF(AQ92=1,"Yes",0)</f>
        <v>0</v>
      </c>
      <c r="AQ93" s="470"/>
      <c r="AR93" s="29"/>
      <c r="AS93" s="29" t="s">
        <v>1564</v>
      </c>
      <c r="AT93" s="371" t="str">
        <f>IF($C$66=$AH$3,$G$66," ")</f>
        <v xml:space="preserve"> </v>
      </c>
      <c r="AU93" s="371">
        <f t="shared" ref="AU93:BF93" si="103">IF($AT$93=$AT$68,AU68,IF($AT$93=$AT$69,AU69,IF($AT$93=$AT$70,AU70,IF($AT$93=$AT$71,AU71,IF($AT$93=$AT$72,AU72,IF($AT$93=$AT$73,AU73,IF($AT$93=$AT$74,AU74,IF($AT$93=$AT$75,AU75,IF($AT$93=$AT$76,AU76,IF($AT$93=$AT$77,AU77,IF($AT$93=$AT$78,AU78,IF($AT$93=$AT$79,AU79,IF($AT$93=$AT$80,AU80,IF($AT$93=$AT$81,AU81,IF($AT$93=$AT$82,AU82,IF($AT$93=$AT$83,AU83,IF($AT$93=$AT$85,AU85,IF($AT$93=$AT$86,AU86,IF($AT$93=$AT$87,AU87,IF($AT$93=$AT$88,AU88,IF($AT$93=$AT$89,AU89,IF($AT$93=$AT$90,AU90,0))))))))))))))))))))))</f>
        <v>0</v>
      </c>
      <c r="AV93" s="371">
        <f t="shared" si="103"/>
        <v>0</v>
      </c>
      <c r="AW93" s="371">
        <f t="shared" si="103"/>
        <v>0</v>
      </c>
      <c r="AX93" s="371">
        <f t="shared" si="103"/>
        <v>0</v>
      </c>
      <c r="AY93" s="371">
        <f t="shared" si="103"/>
        <v>0</v>
      </c>
      <c r="AZ93" s="371">
        <f t="shared" si="103"/>
        <v>0</v>
      </c>
      <c r="BA93" s="371">
        <f t="shared" si="103"/>
        <v>0</v>
      </c>
      <c r="BB93" s="371">
        <f t="shared" si="103"/>
        <v>0</v>
      </c>
      <c r="BC93" s="371">
        <f t="shared" si="103"/>
        <v>0</v>
      </c>
      <c r="BD93" s="371">
        <f t="shared" si="103"/>
        <v>0</v>
      </c>
      <c r="BE93" s="371">
        <f t="shared" si="103"/>
        <v>0</v>
      </c>
      <c r="BF93" s="371">
        <f t="shared" si="103"/>
        <v>0</v>
      </c>
      <c r="BG93" s="52"/>
      <c r="BH93" s="52"/>
      <c r="BI93" s="412"/>
      <c r="BJ93" s="409"/>
      <c r="BK93" s="408"/>
      <c r="BL93" s="408"/>
      <c r="BM93" s="408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394" t="s">
        <v>839</v>
      </c>
      <c r="CB93" s="394" t="s">
        <v>847</v>
      </c>
      <c r="CC93" s="394"/>
      <c r="CD93" s="394" t="s">
        <v>1575</v>
      </c>
      <c r="CE93" s="395" t="s">
        <v>1573</v>
      </c>
      <c r="CF93" s="394" t="s">
        <v>1578</v>
      </c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313" t="s">
        <v>1278</v>
      </c>
      <c r="EA93" s="29"/>
      <c r="EB93" s="428"/>
      <c r="EC93" s="428"/>
      <c r="ED93" s="428"/>
      <c r="EE93" s="428"/>
      <c r="EF93" s="428"/>
      <c r="EG93" s="428"/>
      <c r="EH93" s="428"/>
      <c r="EI93" s="428"/>
      <c r="EJ93" s="428"/>
      <c r="EK93" s="428"/>
      <c r="EL93" s="428"/>
      <c r="EM93" s="428"/>
      <c r="EN93" s="29"/>
      <c r="EO93" s="29"/>
      <c r="EP93" s="29"/>
      <c r="EQ93" s="29"/>
      <c r="ER93" s="29"/>
      <c r="ES93" s="29"/>
      <c r="ET93" s="29"/>
      <c r="EU93" s="29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</row>
    <row r="94" spans="1:168" ht="15.95" customHeight="1" x14ac:dyDescent="0.25">
      <c r="A94" s="532" t="s">
        <v>426</v>
      </c>
      <c r="B94" s="532"/>
      <c r="C94" s="532"/>
      <c r="D94" s="388">
        <f>IF(Y93="Burst","N/A",IF(AP117="Yes",D92+F92+H92+J92+L92+N92+P92,D92+F92+H92+J92+L92+N92+P92+Y95+R92+S92))</f>
        <v>-5</v>
      </c>
      <c r="E94" s="30"/>
      <c r="F94" s="532" t="s">
        <v>430</v>
      </c>
      <c r="G94" s="532"/>
      <c r="H94" s="532"/>
      <c r="I94" s="532"/>
      <c r="J94" s="532"/>
      <c r="K94" s="533"/>
      <c r="L94" s="388">
        <f>IF(OR(Y93="Burst",Y93="Single Shot",Y93="Semi-Automatic"),"N/A",D92+F92+H92+J92+L92+N92+P92+IF(-1*IF(AP117="Yes",Y95,2*Y95)&gt;R92+S92,IF(AP117="Yes",Y95,2*Y95)+R92+S92,0))</f>
        <v>-5</v>
      </c>
      <c r="M94" s="30"/>
      <c r="N94" s="30"/>
      <c r="O94" s="29"/>
      <c r="P94" s="536" t="str">
        <f>AP112</f>
        <v>0-20/×0</v>
      </c>
      <c r="Q94" s="537"/>
      <c r="R94" s="537"/>
      <c r="S94" s="537"/>
      <c r="T94" s="538"/>
      <c r="U94" s="29"/>
      <c r="V94" s="30"/>
      <c r="W94" s="30"/>
      <c r="X94" s="370" t="s">
        <v>421</v>
      </c>
      <c r="Y94" s="468">
        <f>IF(AND(AP106&lt;=0,1,OR(C90=AH1,C90=AH2,C90=AH3,C90=AH4,C90=AH5)),1,AP106)</f>
        <v>0</v>
      </c>
      <c r="Z94" s="468"/>
      <c r="AA94" s="30"/>
      <c r="AB94" s="471"/>
      <c r="AC94" s="471"/>
      <c r="AD94" s="471"/>
      <c r="AE94" s="471"/>
      <c r="AF94" s="471"/>
      <c r="AG94" s="29"/>
      <c r="AH94" s="29"/>
      <c r="AI94" s="29"/>
      <c r="AJ94" s="29"/>
      <c r="AK94" s="29"/>
      <c r="AL94" s="29">
        <v>11</v>
      </c>
      <c r="AM94" s="376" t="str">
        <f t="shared" ref="AM94:AM106" si="104">IF($C$78=$AH$1,AT13,IF($C$78=$AH$2,AT47,IF($C$78=$AH$3,AT78,IF($C$78=$AH$4,AT109,IF($C$78=$AH$5,AT140,IF($C$78=$AH$6,AT171,IF($C$78=$AH$7,"Ranged Touch"," ")))))))</f>
        <v xml:space="preserve"> </v>
      </c>
      <c r="AN94" s="29"/>
      <c r="AO94" s="390" t="s">
        <v>777</v>
      </c>
      <c r="AP94" s="469">
        <f>IF(BJ42="Recoil penalty -1",1,0)+IF(BK42="Recoil penalty -1",1,0)+IF(BL42="Recoil penalty -1",1,0)+IF(BM42="Recoil penalty -1",1,0)+IF(N78=CS31,-2,0)+IF(S78=CS31,-2,0)+IF(W78=CS31,-2,0)+IF(N78=CV34,1,0)+IF(S78=CV34,1,0)+IF(W78=CV34,1,0)+IF(N78=CV35,2,0)+IF(S78=CV35,2,0)+IF(W78=CV35,2,0)+IF(N78=CV36,3,0)+IF(S78=CV36,3,0)+IF(W78=CV36,3,0)+IF(N78=CY30,1,0)+IF(S78=CY30,1,0)+IF(W78=CY30,1,0)+IF(N78=CY31,2,0)+IF(S78=CY31,2,0)+IF(W78=CY31,2,0)+IF(N78=CY32,2,0)+IF(S78=CY32,2,0)+IF(W78=CY32,2,0)+IF(AB27=DS23,1,0)+IF(AB27=DS52,2,0)+IF(AB27=DS77,3,0)</f>
        <v>0</v>
      </c>
      <c r="AQ94" s="470"/>
      <c r="AR94" s="29"/>
      <c r="AS94" s="29" t="s">
        <v>1565</v>
      </c>
      <c r="AT94" s="371" t="str">
        <f>IF($C$78=$AH$3,$G$78," ")</f>
        <v xml:space="preserve"> </v>
      </c>
      <c r="AU94" s="371">
        <f t="shared" ref="AU94:BF94" si="105">IF($AT$94=$AT$68,AU68,IF($AT$94=$AT$69,AU69,IF($AT$94=$AT$70,AU70,IF($AT$94=$AT$71,AU71,IF($AT$94=$AT$72,AU72,IF($AT$94=$AT$73,AU73,IF($AT$94=$AT$74,AU74,IF($AT$94=$AT$75,AU75,IF($AT$94=$AT$76,AU76,IF($AT$94=$AT$77,AU77,IF($AT$94=$AT$78,AU78,IF($AT$94=$AT$79,AU79,IF($AT$94=$AT$80,AU80,IF($AT$94=$AT$81,AU81,IF($AT$94=$AT$82,AU82,IF($AT$94=$AT$83,AU83,IF($AT$94=$AT$85,AU85,IF($AT$94=$AT$86,AU86,IF($AT$94=$AT$87,AU87,IF($AT$94=$AT$88,AU88,IF($AT$94=$AT$89,AU89,IF($AT$94=$AT$90,AU90,0))))))))))))))))))))))</f>
        <v>0</v>
      </c>
      <c r="AV94" s="371">
        <f t="shared" si="105"/>
        <v>0</v>
      </c>
      <c r="AW94" s="371">
        <f t="shared" si="105"/>
        <v>0</v>
      </c>
      <c r="AX94" s="371">
        <f t="shared" si="105"/>
        <v>0</v>
      </c>
      <c r="AY94" s="371">
        <f t="shared" si="105"/>
        <v>0</v>
      </c>
      <c r="AZ94" s="371">
        <f t="shared" si="105"/>
        <v>0</v>
      </c>
      <c r="BA94" s="371">
        <f t="shared" si="105"/>
        <v>0</v>
      </c>
      <c r="BB94" s="371">
        <f t="shared" si="105"/>
        <v>0</v>
      </c>
      <c r="BC94" s="371">
        <f t="shared" si="105"/>
        <v>0</v>
      </c>
      <c r="BD94" s="371">
        <f t="shared" si="105"/>
        <v>0</v>
      </c>
      <c r="BE94" s="371">
        <f t="shared" si="105"/>
        <v>0</v>
      </c>
      <c r="BF94" s="371">
        <f t="shared" si="105"/>
        <v>0</v>
      </c>
      <c r="BG94" s="52"/>
      <c r="BH94" s="52"/>
      <c r="BI94" s="412"/>
      <c r="BJ94" s="409"/>
      <c r="BK94" s="408"/>
      <c r="BL94" s="408"/>
      <c r="BM94" s="408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394" t="s">
        <v>841</v>
      </c>
      <c r="CB94" s="394" t="s">
        <v>847</v>
      </c>
      <c r="CC94" s="394"/>
      <c r="CD94" s="394" t="s">
        <v>1575</v>
      </c>
      <c r="CE94" s="395" t="s">
        <v>1573</v>
      </c>
      <c r="CF94" s="394" t="s">
        <v>1578</v>
      </c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314"/>
      <c r="DZ94" s="314" t="s">
        <v>1279</v>
      </c>
      <c r="EA94" s="29"/>
      <c r="EB94" s="428"/>
      <c r="EC94" s="428"/>
      <c r="ED94" s="428"/>
      <c r="EE94" s="428"/>
      <c r="EF94" s="428"/>
      <c r="EG94" s="428"/>
      <c r="EH94" s="428"/>
      <c r="EI94" s="428"/>
      <c r="EJ94" s="428"/>
      <c r="EK94" s="428"/>
      <c r="EL94" s="428"/>
      <c r="EM94" s="428"/>
      <c r="EN94" s="29"/>
      <c r="EO94" s="29"/>
      <c r="EP94" s="29"/>
      <c r="EQ94" s="29"/>
      <c r="ER94" s="29"/>
      <c r="ES94" s="29"/>
      <c r="ET94" s="29"/>
      <c r="EU94" s="29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30"/>
      <c r="FK94" s="30"/>
      <c r="FL94" s="30"/>
    </row>
    <row r="95" spans="1:168" ht="15.95" customHeight="1" x14ac:dyDescent="0.25">
      <c r="A95" s="532" t="s">
        <v>427</v>
      </c>
      <c r="B95" s="532"/>
      <c r="C95" s="532"/>
      <c r="D95" s="388">
        <f>IF(OR(Y93="Burst",Y93="Single Shot"),"N/A",D92+F92+H92+J92+L92+N92+P92+IF(-1*IF(AP117="Yes",Y95,2*Y95)&gt;R92+S92,IF(AP117="Yes",Y95,2*Y95)+R92+S92,0))</f>
        <v>-5</v>
      </c>
      <c r="E95" s="30"/>
      <c r="F95" s="532" t="s">
        <v>431</v>
      </c>
      <c r="G95" s="532"/>
      <c r="H95" s="532"/>
      <c r="I95" s="532"/>
      <c r="J95" s="532"/>
      <c r="K95" s="533"/>
      <c r="L95" s="388">
        <f>IF(OR(Y93="Burst",Y93="Single Shot",Y93="Semi-Automatic"),"N/A",D92+F92+H92+J92+L92+N92+P92+IF(-2*IF(AP117="Yes",Y95,2*Y95)&gt;R92+S92,2*IF(AP117="Yes",Y95,2*Y95)+R92+S92,0))</f>
        <v>-5</v>
      </c>
      <c r="M95" s="30"/>
      <c r="N95" s="30"/>
      <c r="O95" s="29"/>
      <c r="P95" s="526" t="s">
        <v>85</v>
      </c>
      <c r="Q95" s="526"/>
      <c r="R95" s="526"/>
      <c r="S95" s="526"/>
      <c r="T95" s="526"/>
      <c r="U95" s="29"/>
      <c r="V95" s="30"/>
      <c r="W95" s="30"/>
      <c r="X95" s="370" t="s">
        <v>190</v>
      </c>
      <c r="Y95" s="468">
        <f t="shared" si="102"/>
        <v>0</v>
      </c>
      <c r="Z95" s="468"/>
      <c r="AA95" s="30"/>
      <c r="AB95" s="471"/>
      <c r="AC95" s="471"/>
      <c r="AD95" s="471"/>
      <c r="AE95" s="471"/>
      <c r="AF95" s="471"/>
      <c r="AG95" s="29"/>
      <c r="AH95" s="29"/>
      <c r="AI95" s="29"/>
      <c r="AJ95" s="29"/>
      <c r="AK95" s="29"/>
      <c r="AL95" s="29">
        <v>12</v>
      </c>
      <c r="AM95" s="376" t="str">
        <f t="shared" si="104"/>
        <v xml:space="preserve"> </v>
      </c>
      <c r="AN95" s="29"/>
      <c r="AO95" s="52"/>
      <c r="AP95" s="52"/>
      <c r="AQ95" s="52"/>
      <c r="AR95" s="29"/>
      <c r="AS95" s="29" t="s">
        <v>1566</v>
      </c>
      <c r="AT95" s="371" t="str">
        <f>IF($C$90=$AH$3,$G$90," ")</f>
        <v xml:space="preserve"> </v>
      </c>
      <c r="AU95" s="371">
        <f t="shared" ref="AU95:BF95" si="106">IF($AT$95=$AT$68,AU68,IF($AT$95=$AT$69,AU69,IF($AT$95=$AT$70,AU70,IF($AT$95=$AT$71,AU71,IF($AT$95=$AT$72,AU72,IF($AT$95=$AT$73,AU73,IF($AT$95=$AT$74,AU74,IF($AT$95=$AT$75,AU75,IF($AT$95=$AT$76,AU76,IF($AT$95=$AT$77,AU77,IF($AT$95=$AT$78,AU78,IF($AT$95=$AT$79,AU79,IF($AT$95=$AT$80,AU80,IF($AT$95=$AT$81,AU81,IF($AT$95=$AT$82,AU82,IF($AT$95=$AT$83,AU83,IF($AT$95=$AT$85,AU85,IF($AT$95=$AT$86,AU86,IF($AT$95=$AT$87,AU87,IF($AT$95=$AT$88,AU88,IF($AT$95=$AT$89,AU89,IF($AT$95=$AT$90,AU90,0))))))))))))))))))))))</f>
        <v>0</v>
      </c>
      <c r="AV95" s="371">
        <f t="shared" si="106"/>
        <v>0</v>
      </c>
      <c r="AW95" s="371">
        <f t="shared" si="106"/>
        <v>0</v>
      </c>
      <c r="AX95" s="371">
        <f t="shared" si="106"/>
        <v>0</v>
      </c>
      <c r="AY95" s="371">
        <f t="shared" si="106"/>
        <v>0</v>
      </c>
      <c r="AZ95" s="371">
        <f t="shared" si="106"/>
        <v>0</v>
      </c>
      <c r="BA95" s="371">
        <f t="shared" si="106"/>
        <v>0</v>
      </c>
      <c r="BB95" s="371">
        <f t="shared" si="106"/>
        <v>0</v>
      </c>
      <c r="BC95" s="371">
        <f t="shared" si="106"/>
        <v>0</v>
      </c>
      <c r="BD95" s="371">
        <f t="shared" si="106"/>
        <v>0</v>
      </c>
      <c r="BE95" s="371">
        <f t="shared" si="106"/>
        <v>0</v>
      </c>
      <c r="BF95" s="371">
        <f t="shared" si="106"/>
        <v>0</v>
      </c>
      <c r="BG95" s="233"/>
      <c r="BH95" s="233"/>
      <c r="BI95" s="408"/>
      <c r="BJ95" s="409"/>
      <c r="BK95" s="408"/>
      <c r="BL95" s="408"/>
      <c r="BM95" s="408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394" t="s">
        <v>842</v>
      </c>
      <c r="CB95" s="394" t="s">
        <v>847</v>
      </c>
      <c r="CC95" s="394"/>
      <c r="CD95" s="394" t="s">
        <v>1575</v>
      </c>
      <c r="CE95" s="394"/>
      <c r="CF95" s="394" t="s">
        <v>1578</v>
      </c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82" t="s">
        <v>1320</v>
      </c>
      <c r="DY95" s="315" t="s">
        <v>1320</v>
      </c>
      <c r="DZ95" s="315" t="s">
        <v>1280</v>
      </c>
      <c r="EA95" s="29"/>
      <c r="EB95" s="428"/>
      <c r="EC95" s="428"/>
      <c r="ED95" s="428"/>
      <c r="EE95" s="428"/>
      <c r="EF95" s="428"/>
      <c r="EG95" s="428"/>
      <c r="EH95" s="428"/>
      <c r="EI95" s="428"/>
      <c r="EJ95" s="428"/>
      <c r="EK95" s="428"/>
      <c r="EL95" s="428"/>
      <c r="EM95" s="428"/>
      <c r="EN95" s="29"/>
      <c r="EO95" s="29"/>
      <c r="EP95" s="29"/>
      <c r="EQ95" s="29"/>
      <c r="ER95" s="29"/>
      <c r="ES95" s="29"/>
      <c r="ET95" s="29"/>
      <c r="EU95" s="29"/>
      <c r="EV95" s="30"/>
      <c r="EW95" s="30"/>
      <c r="EX95" s="30"/>
      <c r="EY95" s="30"/>
      <c r="EZ95" s="30"/>
      <c r="FA95" s="30"/>
      <c r="FB95" s="30"/>
      <c r="FC95" s="30"/>
      <c r="FD95" s="30"/>
      <c r="FE95" s="30"/>
      <c r="FF95" s="30"/>
      <c r="FG95" s="30"/>
      <c r="FH95" s="30"/>
      <c r="FI95" s="30"/>
      <c r="FJ95" s="30"/>
      <c r="FK95" s="30"/>
      <c r="FL95" s="30"/>
    </row>
    <row r="96" spans="1:168" ht="15.95" customHeight="1" x14ac:dyDescent="0.25">
      <c r="A96" s="532" t="s">
        <v>428</v>
      </c>
      <c r="B96" s="532"/>
      <c r="C96" s="532"/>
      <c r="D96" s="388">
        <f>IF(Y93="Single Shot","N/A",D92+F92+H92+J92+L92+N92+P92+IF(-1*IF(AP117="Yes",Y95,2*Y95)&gt;R92+S92,IF(AP117="Yes",Y95,2*Y95)+R92+S92,0))</f>
        <v>-5</v>
      </c>
      <c r="E96" s="30"/>
      <c r="F96" s="532" t="s">
        <v>432</v>
      </c>
      <c r="G96" s="532"/>
      <c r="H96" s="532"/>
      <c r="I96" s="532"/>
      <c r="J96" s="532"/>
      <c r="K96" s="533"/>
      <c r="L96" s="388">
        <f>IF(OR(Y93="Burst",Y93="Single Shot",Y93="Semi-Automatic"),"N/A",D92+F92+H92+J92+L92+N92+P92+IF(-3*IF(AP117="Yes",Y95,2*Y95)&gt;R92+S92,3*IF(AP117="Yes",Y95,2*Y95)+R92+S92,0))</f>
        <v>-5</v>
      </c>
      <c r="M96" s="30"/>
      <c r="N96" s="30"/>
      <c r="O96" s="29"/>
      <c r="P96" s="525"/>
      <c r="Q96" s="525"/>
      <c r="R96" s="525"/>
      <c r="S96" s="525"/>
      <c r="T96" s="525"/>
      <c r="U96" s="525"/>
      <c r="V96" s="525"/>
      <c r="W96" s="30"/>
      <c r="X96" s="370" t="s">
        <v>191</v>
      </c>
      <c r="Y96" s="468">
        <f t="shared" si="102"/>
        <v>0</v>
      </c>
      <c r="Z96" s="468"/>
      <c r="AA96" s="30"/>
      <c r="AB96" s="471"/>
      <c r="AC96" s="471"/>
      <c r="AD96" s="471"/>
      <c r="AE96" s="471"/>
      <c r="AF96" s="471"/>
      <c r="AG96" s="29"/>
      <c r="AH96" s="29"/>
      <c r="AI96" s="29"/>
      <c r="AJ96" s="29"/>
      <c r="AK96" s="29"/>
      <c r="AL96" s="29">
        <v>13</v>
      </c>
      <c r="AM96" s="376" t="str">
        <f t="shared" si="104"/>
        <v xml:space="preserve"> </v>
      </c>
      <c r="AN96" s="29"/>
      <c r="AO96" s="52"/>
      <c r="AP96" s="52"/>
      <c r="AQ96" s="52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36"/>
      <c r="BJ96" s="409"/>
      <c r="BK96" s="408"/>
      <c r="BL96" s="408"/>
      <c r="BM96" s="408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394" t="s">
        <v>843</v>
      </c>
      <c r="CB96" s="394" t="s">
        <v>847</v>
      </c>
      <c r="CC96" s="394"/>
      <c r="CD96" s="394" t="s">
        <v>1575</v>
      </c>
      <c r="CE96" s="394"/>
      <c r="CF96" s="394" t="s">
        <v>1578</v>
      </c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9"/>
      <c r="DF96" s="29"/>
      <c r="DG96" s="29"/>
      <c r="DH96" s="29"/>
      <c r="DI96" s="29"/>
      <c r="DJ96" s="248"/>
      <c r="DK96" s="248"/>
      <c r="DL96" s="248"/>
      <c r="DM96" s="248"/>
      <c r="DO96" s="248"/>
      <c r="DP96" s="29"/>
      <c r="DQ96" s="29"/>
      <c r="DR96" s="29"/>
      <c r="DS96" s="29"/>
      <c r="DT96" s="29"/>
      <c r="DU96" s="29"/>
      <c r="DV96" s="29"/>
      <c r="DW96" s="29"/>
      <c r="DX96" s="278" t="s">
        <v>1321</v>
      </c>
      <c r="DY96" s="316" t="s">
        <v>1321</v>
      </c>
      <c r="DZ96" s="316" t="s">
        <v>1281</v>
      </c>
      <c r="EA96" s="29"/>
      <c r="EB96" s="428"/>
      <c r="EC96" s="428"/>
      <c r="ED96" s="428"/>
      <c r="EE96" s="428"/>
      <c r="EF96" s="428"/>
      <c r="EG96" s="428"/>
      <c r="EH96" s="428"/>
      <c r="EI96" s="428"/>
      <c r="EJ96" s="428"/>
      <c r="EK96" s="428"/>
      <c r="EL96" s="428"/>
      <c r="EM96" s="428"/>
      <c r="EN96" s="29"/>
      <c r="EO96" s="29"/>
      <c r="EP96" s="29"/>
      <c r="EQ96" s="29"/>
      <c r="ER96" s="29"/>
      <c r="ES96" s="29"/>
      <c r="ET96" s="29"/>
      <c r="EU96" s="29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</row>
    <row r="97" spans="1:168" ht="15.95" customHeight="1" x14ac:dyDescent="0.25">
      <c r="A97" s="532" t="s">
        <v>429</v>
      </c>
      <c r="B97" s="532"/>
      <c r="C97" s="532"/>
      <c r="D97" s="388">
        <f>IF(Y93="Single Shot","N/A",D92+F92+H92+J92+L92+N92+P92+IF(-2*IF(AP117="Yes",Y95,2*Y95)&gt;R92+S92,2*IF(AP117="Yes",Y95,2*Y95)+R92+S92,0))</f>
        <v>-5</v>
      </c>
      <c r="E97" s="30"/>
      <c r="F97" s="30"/>
      <c r="G97" s="30"/>
      <c r="H97" s="30"/>
      <c r="I97" s="30"/>
      <c r="J97" s="30"/>
      <c r="K97" s="528" t="s">
        <v>433</v>
      </c>
      <c r="L97" s="528"/>
      <c r="M97" s="528"/>
      <c r="N97" s="30"/>
      <c r="O97" s="29"/>
      <c r="P97" s="525"/>
      <c r="Q97" s="525"/>
      <c r="R97" s="525"/>
      <c r="S97" s="525"/>
      <c r="T97" s="525"/>
      <c r="U97" s="525"/>
      <c r="V97" s="525"/>
      <c r="W97" s="30"/>
      <c r="X97" s="370" t="s">
        <v>583</v>
      </c>
      <c r="Y97" s="468">
        <f t="shared" si="102"/>
        <v>0</v>
      </c>
      <c r="Z97" s="468"/>
      <c r="AA97" s="30"/>
      <c r="AB97" s="471"/>
      <c r="AC97" s="471"/>
      <c r="AD97" s="471"/>
      <c r="AE97" s="471"/>
      <c r="AF97" s="471"/>
      <c r="AG97" s="29"/>
      <c r="AH97" s="29"/>
      <c r="AI97" s="29"/>
      <c r="AJ97" s="29"/>
      <c r="AK97" s="29"/>
      <c r="AL97" s="29">
        <v>14</v>
      </c>
      <c r="AM97" s="376" t="str">
        <f t="shared" si="104"/>
        <v xml:space="preserve"> </v>
      </c>
      <c r="AN97" s="29"/>
      <c r="AO97" s="52"/>
      <c r="AP97" s="52"/>
      <c r="AQ97" s="52"/>
      <c r="AR97" s="29"/>
      <c r="AS97" s="233"/>
      <c r="AT97" s="375" t="s">
        <v>1535</v>
      </c>
      <c r="AU97" s="490" t="s">
        <v>467</v>
      </c>
      <c r="AV97" s="490"/>
      <c r="AW97" s="490" t="s">
        <v>1544</v>
      </c>
      <c r="AX97" s="490"/>
      <c r="AY97" s="375"/>
      <c r="AZ97" s="490" t="s">
        <v>1112</v>
      </c>
      <c r="BA97" s="490"/>
      <c r="BB97" s="375"/>
      <c r="BC97" s="491" t="s">
        <v>794</v>
      </c>
      <c r="BD97" s="375"/>
      <c r="BE97" s="490" t="s">
        <v>1001</v>
      </c>
      <c r="BF97" s="490"/>
      <c r="BG97" s="29"/>
      <c r="BH97" s="29"/>
      <c r="BI97" s="36"/>
      <c r="BJ97" s="409"/>
      <c r="BK97" s="408"/>
      <c r="BL97" s="408"/>
      <c r="BM97" s="408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394" t="s">
        <v>867</v>
      </c>
      <c r="CB97" s="394" t="s">
        <v>847</v>
      </c>
      <c r="CC97" s="394"/>
      <c r="CD97" s="394" t="s">
        <v>1575</v>
      </c>
      <c r="CE97" s="394"/>
      <c r="CF97" s="394" t="s">
        <v>1578</v>
      </c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9"/>
      <c r="DF97" s="29"/>
      <c r="DG97" s="29"/>
      <c r="DH97" s="29"/>
      <c r="DI97" s="252"/>
      <c r="DJ97" s="248"/>
      <c r="DK97" s="248"/>
      <c r="DL97" s="248"/>
      <c r="DM97" s="248"/>
      <c r="DN97" s="249"/>
      <c r="DO97" s="248"/>
      <c r="DP97" s="29"/>
      <c r="DQ97" s="29"/>
      <c r="DR97" s="29"/>
      <c r="DS97" s="29"/>
      <c r="DT97" s="29"/>
      <c r="DU97" s="29"/>
      <c r="DV97" s="29"/>
      <c r="DW97" s="29"/>
      <c r="DX97" s="278" t="s">
        <v>1471</v>
      </c>
      <c r="DY97" s="317"/>
      <c r="DZ97" s="317" t="s">
        <v>1282</v>
      </c>
      <c r="EA97" s="29"/>
      <c r="EB97" s="428"/>
      <c r="EC97" s="428"/>
      <c r="ED97" s="428"/>
      <c r="EE97" s="428"/>
      <c r="EF97" s="428"/>
      <c r="EG97" s="428"/>
      <c r="EH97" s="428"/>
      <c r="EI97" s="428"/>
      <c r="EJ97" s="428"/>
      <c r="EK97" s="428"/>
      <c r="EL97" s="428"/>
      <c r="EM97" s="428"/>
      <c r="EN97" s="29"/>
      <c r="EO97" s="29"/>
      <c r="EP97" s="29"/>
      <c r="EQ97" s="29"/>
      <c r="ER97" s="29"/>
      <c r="ES97" s="29"/>
      <c r="ET97" s="29"/>
      <c r="EU97" s="29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</row>
    <row r="98" spans="1:168" ht="15.95" customHeight="1" thickBot="1" x14ac:dyDescent="0.3">
      <c r="A98" s="30"/>
      <c r="B98" s="30"/>
      <c r="C98" s="528" t="s">
        <v>433</v>
      </c>
      <c r="D98" s="528"/>
      <c r="E98" s="528"/>
      <c r="F98" s="30"/>
      <c r="G98" s="30"/>
      <c r="H98" s="30"/>
      <c r="I98" s="30"/>
      <c r="J98" s="30"/>
      <c r="K98" s="30"/>
      <c r="L98" s="30"/>
      <c r="M98" s="30"/>
      <c r="N98" s="30"/>
      <c r="O98" s="29"/>
      <c r="P98" s="525"/>
      <c r="Q98" s="525"/>
      <c r="R98" s="525"/>
      <c r="S98" s="525"/>
      <c r="T98" s="525"/>
      <c r="U98" s="525"/>
      <c r="V98" s="525"/>
      <c r="W98" s="30"/>
      <c r="X98" s="370" t="s">
        <v>771</v>
      </c>
      <c r="Y98" s="468">
        <f t="shared" si="102"/>
        <v>0</v>
      </c>
      <c r="Z98" s="468"/>
      <c r="AA98" s="31"/>
      <c r="AB98" s="471"/>
      <c r="AC98" s="471"/>
      <c r="AD98" s="471"/>
      <c r="AE98" s="471"/>
      <c r="AF98" s="471"/>
      <c r="AG98" s="29"/>
      <c r="AH98" s="29"/>
      <c r="AI98" s="29"/>
      <c r="AJ98" s="29"/>
      <c r="AK98" s="29"/>
      <c r="AL98" s="29">
        <v>15</v>
      </c>
      <c r="AM98" s="376" t="str">
        <f t="shared" si="104"/>
        <v xml:space="preserve"> </v>
      </c>
      <c r="AN98" s="29"/>
      <c r="AO98" s="52"/>
      <c r="AP98" s="52"/>
      <c r="AQ98" s="52"/>
      <c r="AR98" s="29"/>
      <c r="AS98" s="233"/>
      <c r="AT98" s="364" t="s">
        <v>890</v>
      </c>
      <c r="AU98" s="364" t="s">
        <v>1207</v>
      </c>
      <c r="AV98" s="364" t="s">
        <v>167</v>
      </c>
      <c r="AW98" s="364" t="s">
        <v>1547</v>
      </c>
      <c r="AX98" s="364" t="s">
        <v>1548</v>
      </c>
      <c r="AY98" s="364" t="s">
        <v>1002</v>
      </c>
      <c r="AZ98" s="364" t="s">
        <v>1549</v>
      </c>
      <c r="BA98" s="364" t="s">
        <v>1550</v>
      </c>
      <c r="BB98" s="364" t="s">
        <v>190</v>
      </c>
      <c r="BC98" s="492"/>
      <c r="BD98" s="364" t="s">
        <v>692</v>
      </c>
      <c r="BE98" s="364" t="s">
        <v>1207</v>
      </c>
      <c r="BF98" s="364" t="s">
        <v>167</v>
      </c>
      <c r="BG98" s="29"/>
      <c r="BH98" s="29"/>
      <c r="BI98" s="36"/>
      <c r="BJ98" s="409"/>
      <c r="BK98" s="408"/>
      <c r="BL98" s="408"/>
      <c r="BM98" s="408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394" t="s">
        <v>866</v>
      </c>
      <c r="CB98" s="394" t="s">
        <v>847</v>
      </c>
      <c r="CC98" s="394"/>
      <c r="CD98" s="394" t="s">
        <v>1575</v>
      </c>
      <c r="CE98" s="394"/>
      <c r="CF98" s="394" t="s">
        <v>1578</v>
      </c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9"/>
      <c r="DF98" s="29"/>
      <c r="DG98" s="29"/>
      <c r="DH98" s="29"/>
      <c r="DI98" s="252"/>
      <c r="DJ98" s="250"/>
      <c r="DK98" s="251"/>
      <c r="DL98" s="251"/>
      <c r="DM98" s="251"/>
      <c r="DN98" s="251"/>
      <c r="DO98" s="251"/>
      <c r="DP98" s="613" t="s">
        <v>1000</v>
      </c>
      <c r="DQ98" s="251"/>
      <c r="DR98" s="29"/>
      <c r="DS98" s="29"/>
      <c r="DT98" s="29"/>
      <c r="DU98" s="29"/>
      <c r="DV98" s="29"/>
      <c r="DW98" s="29"/>
      <c r="DX98" s="278" t="s">
        <v>1322</v>
      </c>
      <c r="DY98" s="316" t="s">
        <v>1322</v>
      </c>
      <c r="DZ98" s="316" t="s">
        <v>1283</v>
      </c>
      <c r="EA98" s="29"/>
      <c r="EB98" s="428"/>
      <c r="EC98" s="428"/>
      <c r="ED98" s="428"/>
      <c r="EE98" s="428"/>
      <c r="EF98" s="428"/>
      <c r="EG98" s="428"/>
      <c r="EH98" s="428"/>
      <c r="EI98" s="428"/>
      <c r="EJ98" s="428"/>
      <c r="EK98" s="428"/>
      <c r="EL98" s="428"/>
      <c r="EM98" s="428"/>
      <c r="EN98" s="29"/>
      <c r="EO98" s="29"/>
      <c r="EP98" s="29"/>
      <c r="EQ98" s="29"/>
      <c r="ER98" s="29"/>
      <c r="ES98" s="29"/>
      <c r="ET98" s="29"/>
      <c r="EU98" s="29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</row>
    <row r="99" spans="1:168" ht="15.95" customHeight="1" x14ac:dyDescent="0.25">
      <c r="A99" s="501" t="s">
        <v>201</v>
      </c>
      <c r="B99" s="501"/>
      <c r="C99" s="501"/>
      <c r="D99" s="468">
        <f>AP111</f>
        <v>0</v>
      </c>
      <c r="E99" s="468"/>
      <c r="F99" s="468"/>
      <c r="G99" s="367" t="s">
        <v>7</v>
      </c>
      <c r="H99" s="525"/>
      <c r="I99" s="525"/>
      <c r="J99" s="525"/>
      <c r="K99" s="367" t="s">
        <v>7</v>
      </c>
      <c r="L99" s="543"/>
      <c r="M99" s="543"/>
      <c r="N99" s="543"/>
      <c r="O99" s="29"/>
      <c r="P99" s="526" t="s">
        <v>86</v>
      </c>
      <c r="Q99" s="526"/>
      <c r="R99" s="526"/>
      <c r="S99" s="526"/>
      <c r="T99" s="526"/>
      <c r="U99" s="526"/>
      <c r="V99" s="526"/>
      <c r="W99" s="29"/>
      <c r="X99" s="29"/>
      <c r="Y99" s="29"/>
      <c r="Z99" s="29"/>
      <c r="AA99" s="31"/>
      <c r="AB99" s="471"/>
      <c r="AC99" s="471"/>
      <c r="AD99" s="471"/>
      <c r="AE99" s="471"/>
      <c r="AF99" s="471"/>
      <c r="AG99" s="29"/>
      <c r="AH99" s="29"/>
      <c r="AI99" s="29"/>
      <c r="AJ99" s="29"/>
      <c r="AK99" s="29"/>
      <c r="AL99" s="29">
        <v>16</v>
      </c>
      <c r="AM99" s="376" t="str">
        <f t="shared" si="104"/>
        <v xml:space="preserve"> </v>
      </c>
      <c r="AN99" s="29"/>
      <c r="AO99" s="52"/>
      <c r="AP99" s="52"/>
      <c r="AQ99" s="52"/>
      <c r="AR99" s="29"/>
      <c r="AS99" s="29">
        <v>1</v>
      </c>
      <c r="AT99" s="234" t="s">
        <v>818</v>
      </c>
      <c r="AU99" s="234" t="s">
        <v>819</v>
      </c>
      <c r="AV99" s="234" t="s">
        <v>475</v>
      </c>
      <c r="AW99" s="234">
        <v>19</v>
      </c>
      <c r="AX99" s="234">
        <v>3</v>
      </c>
      <c r="AY99" s="234">
        <v>14</v>
      </c>
      <c r="AZ99" s="234" t="s">
        <v>1551</v>
      </c>
      <c r="BA99" s="234">
        <v>2</v>
      </c>
      <c r="BB99" s="234">
        <v>-4</v>
      </c>
      <c r="BC99" s="234">
        <v>2</v>
      </c>
      <c r="BD99" s="234">
        <v>15</v>
      </c>
      <c r="BE99" s="375">
        <f t="shared" ref="BE99:BE116" si="107">IF(BF99&lt;=4,BF99-1,IF(OR(BF99=5,BF99=6,BF99=6.5),BF99-1.5,IF(OR(BF99=7,BF99=8),BF99-2,IF(OR(BF99=9,BF99=10),BF99-2.5,IF(OR(BF99=11,BF99=12,BF99=13),BF99-3,IF(OR(BF99=14,BF99=15,BF99=16),BF99-4,IF(OR(BF99=17,BF99=18),BF99-5,IF(BF99&gt;=19,BF99-6,0))))))))</f>
        <v>10</v>
      </c>
      <c r="BF99" s="234">
        <v>13</v>
      </c>
      <c r="BG99" s="29"/>
      <c r="BH99" s="29"/>
      <c r="BI99" s="36"/>
      <c r="BJ99" s="409"/>
      <c r="BK99" s="408"/>
      <c r="BL99" s="408"/>
      <c r="BM99" s="408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394" t="s">
        <v>845</v>
      </c>
      <c r="CB99" s="394" t="s">
        <v>847</v>
      </c>
      <c r="CC99" s="394"/>
      <c r="CD99" s="394" t="s">
        <v>1575</v>
      </c>
      <c r="CE99" s="394"/>
      <c r="CF99" s="394" t="s">
        <v>1578</v>
      </c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9"/>
      <c r="DF99" s="247" t="s">
        <v>987</v>
      </c>
      <c r="DG99" s="29"/>
      <c r="DH99" s="29"/>
      <c r="DI99" s="251" t="s">
        <v>1008</v>
      </c>
      <c r="DJ99" s="251" t="s">
        <v>1002</v>
      </c>
      <c r="DK99" s="251" t="s">
        <v>906</v>
      </c>
      <c r="DL99" s="251" t="s">
        <v>911</v>
      </c>
      <c r="DM99" s="251" t="s">
        <v>190</v>
      </c>
      <c r="DN99" s="251" t="s">
        <v>467</v>
      </c>
      <c r="DO99" s="251" t="s">
        <v>692</v>
      </c>
      <c r="DP99" s="613"/>
      <c r="DQ99" s="251" t="s">
        <v>1001</v>
      </c>
      <c r="DR99" s="29"/>
      <c r="DS99" s="29"/>
      <c r="DT99" s="29"/>
      <c r="DU99" s="29"/>
      <c r="DV99" s="29"/>
      <c r="DW99" s="29"/>
      <c r="DX99" s="282" t="s">
        <v>1323</v>
      </c>
      <c r="DY99" s="318" t="s">
        <v>1323</v>
      </c>
      <c r="DZ99" s="318" t="s">
        <v>1284</v>
      </c>
      <c r="EA99" s="29"/>
      <c r="EB99" s="428"/>
      <c r="EC99" s="428"/>
      <c r="ED99" s="428"/>
      <c r="EE99" s="428"/>
      <c r="EF99" s="428"/>
      <c r="EG99" s="428"/>
      <c r="EH99" s="428"/>
      <c r="EI99" s="428"/>
      <c r="EJ99" s="428"/>
      <c r="EK99" s="428"/>
      <c r="EL99" s="428"/>
      <c r="EM99" s="428"/>
      <c r="EN99" s="29"/>
      <c r="EO99" s="29"/>
      <c r="EP99" s="29"/>
      <c r="EQ99" s="29"/>
      <c r="ER99" s="29"/>
      <c r="ES99" s="29"/>
      <c r="ET99" s="29"/>
      <c r="EU99" s="29"/>
      <c r="EV99" s="30"/>
      <c r="EW99" s="30"/>
      <c r="EX99" s="30"/>
      <c r="EY99" s="30"/>
      <c r="EZ99" s="30"/>
      <c r="FA99" s="30"/>
      <c r="FB99" s="30"/>
      <c r="FC99" s="30"/>
      <c r="FD99" s="30"/>
      <c r="FE99" s="30"/>
      <c r="FF99" s="30"/>
      <c r="FG99" s="30"/>
      <c r="FH99" s="30"/>
      <c r="FI99" s="30"/>
      <c r="FJ99" s="30"/>
      <c r="FK99" s="30"/>
      <c r="FL99" s="30"/>
    </row>
    <row r="100" spans="1:168" ht="15.95" customHeight="1" x14ac:dyDescent="0.25">
      <c r="A100" s="29"/>
      <c r="B100" s="29"/>
      <c r="C100" s="29"/>
      <c r="D100" s="524" t="s">
        <v>2</v>
      </c>
      <c r="E100" s="524"/>
      <c r="F100" s="524"/>
      <c r="G100" s="44"/>
      <c r="H100" s="529" t="s">
        <v>891</v>
      </c>
      <c r="I100" s="529"/>
      <c r="J100" s="529"/>
      <c r="K100" s="529"/>
      <c r="L100" s="529"/>
      <c r="M100" s="529"/>
      <c r="N100" s="529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1"/>
      <c r="AB100" s="471"/>
      <c r="AC100" s="471"/>
      <c r="AD100" s="471"/>
      <c r="AE100" s="471"/>
      <c r="AF100" s="471"/>
      <c r="AG100" s="29"/>
      <c r="AH100" s="29"/>
      <c r="AI100" s="29"/>
      <c r="AJ100" s="29"/>
      <c r="AK100" s="29"/>
      <c r="AL100" s="29">
        <v>17</v>
      </c>
      <c r="AM100" s="376" t="str">
        <f t="shared" si="104"/>
        <v xml:space="preserve"> </v>
      </c>
      <c r="AN100" s="29"/>
      <c r="AO100" s="52"/>
      <c r="AP100" s="52"/>
      <c r="AQ100" s="52"/>
      <c r="AR100" s="29"/>
      <c r="AS100" s="29">
        <v>2</v>
      </c>
      <c r="AT100" s="234" t="s">
        <v>820</v>
      </c>
      <c r="AU100" s="234" t="s">
        <v>821</v>
      </c>
      <c r="AV100" s="234" t="s">
        <v>822</v>
      </c>
      <c r="AW100" s="234">
        <v>20</v>
      </c>
      <c r="AX100" s="234">
        <v>3</v>
      </c>
      <c r="AY100" s="234">
        <v>12</v>
      </c>
      <c r="AZ100" s="234" t="s">
        <v>1551</v>
      </c>
      <c r="BA100" s="234">
        <v>2</v>
      </c>
      <c r="BB100" s="234">
        <v>-4</v>
      </c>
      <c r="BC100" s="234">
        <v>4</v>
      </c>
      <c r="BD100" s="234">
        <v>25</v>
      </c>
      <c r="BE100" s="375">
        <f t="shared" si="107"/>
        <v>6</v>
      </c>
      <c r="BF100" s="234">
        <v>8</v>
      </c>
      <c r="BG100" s="29"/>
      <c r="BH100" s="29"/>
      <c r="BI100" s="36"/>
      <c r="BJ100" s="409"/>
      <c r="BK100" s="408"/>
      <c r="BL100" s="408"/>
      <c r="BM100" s="408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401" t="s">
        <v>1528</v>
      </c>
      <c r="CB100" s="394" t="s">
        <v>847</v>
      </c>
      <c r="CC100" s="395" t="s">
        <v>1580</v>
      </c>
      <c r="CD100" s="395" t="s">
        <v>1573</v>
      </c>
      <c r="CE100" s="399"/>
      <c r="CF100" s="394" t="s">
        <v>1578</v>
      </c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9"/>
      <c r="DF100" s="29" t="s">
        <v>999</v>
      </c>
      <c r="DG100" s="29"/>
      <c r="DH100" s="29"/>
      <c r="DI100" s="252">
        <v>3</v>
      </c>
      <c r="DJ100" s="252">
        <v>10</v>
      </c>
      <c r="DK100" s="252" t="s">
        <v>907</v>
      </c>
      <c r="DL100" s="252">
        <v>2</v>
      </c>
      <c r="DM100" s="252">
        <v>-2</v>
      </c>
      <c r="DN100" s="252" t="s">
        <v>1003</v>
      </c>
      <c r="DO100" s="252" t="s">
        <v>591</v>
      </c>
      <c r="DP100" s="253">
        <v>0.06</v>
      </c>
      <c r="DQ100" s="252">
        <v>10</v>
      </c>
      <c r="DR100" s="29"/>
      <c r="DS100" s="29"/>
      <c r="DT100" s="29"/>
      <c r="DU100" s="29"/>
      <c r="DV100" s="29"/>
      <c r="DW100" s="29"/>
      <c r="DX100" s="278" t="s">
        <v>1324</v>
      </c>
      <c r="DY100" s="319" t="s">
        <v>1324</v>
      </c>
      <c r="DZ100" s="319" t="s">
        <v>1285</v>
      </c>
      <c r="EA100" s="29"/>
      <c r="EB100" s="428"/>
      <c r="EC100" s="428"/>
      <c r="ED100" s="428"/>
      <c r="EE100" s="428"/>
      <c r="EF100" s="428"/>
      <c r="EG100" s="428"/>
      <c r="EH100" s="428"/>
      <c r="EI100" s="428"/>
      <c r="EJ100" s="428"/>
      <c r="EK100" s="428"/>
      <c r="EL100" s="428"/>
      <c r="EM100" s="428"/>
      <c r="EN100" s="29"/>
      <c r="EO100" s="29"/>
      <c r="EP100" s="29"/>
      <c r="EQ100" s="29"/>
      <c r="ER100" s="29"/>
      <c r="ES100" s="29"/>
      <c r="ET100" s="29"/>
      <c r="EU100" s="29"/>
      <c r="EV100" s="30"/>
      <c r="EW100" s="30"/>
      <c r="EX100" s="30"/>
      <c r="EY100" s="30"/>
      <c r="EZ100" s="30"/>
      <c r="FA100" s="30"/>
      <c r="FB100" s="30"/>
      <c r="FC100" s="30"/>
      <c r="FD100" s="30"/>
      <c r="FE100" s="30"/>
      <c r="FF100" s="30"/>
      <c r="FG100" s="30"/>
      <c r="FH100" s="30"/>
      <c r="FI100" s="30"/>
      <c r="FJ100" s="30"/>
      <c r="FK100" s="30"/>
      <c r="FL100" s="30"/>
    </row>
    <row r="101" spans="1:168" ht="15.9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1"/>
      <c r="AB101" s="471"/>
      <c r="AC101" s="471"/>
      <c r="AD101" s="471"/>
      <c r="AE101" s="471"/>
      <c r="AF101" s="471"/>
      <c r="AG101" s="29"/>
      <c r="AH101" s="29"/>
      <c r="AI101" s="29"/>
      <c r="AJ101" s="29"/>
      <c r="AK101" s="29"/>
      <c r="AL101" s="29">
        <v>18</v>
      </c>
      <c r="AM101" s="376" t="str">
        <f t="shared" si="104"/>
        <v xml:space="preserve"> </v>
      </c>
      <c r="AN101" s="29"/>
      <c r="AO101" s="52"/>
      <c r="AP101" s="52"/>
      <c r="AQ101" s="52"/>
      <c r="AR101" s="29"/>
      <c r="AS101" s="29">
        <v>3</v>
      </c>
      <c r="AT101" s="234" t="s">
        <v>823</v>
      </c>
      <c r="AU101" s="234" t="s">
        <v>824</v>
      </c>
      <c r="AV101" s="234" t="s">
        <v>825</v>
      </c>
      <c r="AW101" s="234">
        <v>20</v>
      </c>
      <c r="AX101" s="234">
        <v>2</v>
      </c>
      <c r="AY101" s="234">
        <v>13</v>
      </c>
      <c r="AZ101" s="234" t="s">
        <v>1551</v>
      </c>
      <c r="BA101" s="234">
        <v>1</v>
      </c>
      <c r="BB101" s="234">
        <v>-3</v>
      </c>
      <c r="BC101" s="234">
        <v>5</v>
      </c>
      <c r="BD101" s="234">
        <v>45</v>
      </c>
      <c r="BE101" s="375">
        <f t="shared" si="107"/>
        <v>8</v>
      </c>
      <c r="BF101" s="234">
        <v>11</v>
      </c>
      <c r="BG101" s="29"/>
      <c r="BH101" s="29"/>
      <c r="BI101" s="36"/>
      <c r="BJ101" s="409"/>
      <c r="BK101" s="408"/>
      <c r="BL101" s="408"/>
      <c r="BM101" s="408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401" t="s">
        <v>1529</v>
      </c>
      <c r="CB101" s="394" t="s">
        <v>847</v>
      </c>
      <c r="CC101" s="399"/>
      <c r="CD101" s="394" t="s">
        <v>1575</v>
      </c>
      <c r="CE101" s="399"/>
      <c r="CF101" s="394" t="s">
        <v>1578</v>
      </c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9"/>
      <c r="DF101" s="29" t="s">
        <v>988</v>
      </c>
      <c r="DG101" s="29"/>
      <c r="DH101" s="29"/>
      <c r="DI101" s="252">
        <v>2</v>
      </c>
      <c r="DJ101" s="252">
        <v>11</v>
      </c>
      <c r="DK101" s="252" t="s">
        <v>907</v>
      </c>
      <c r="DL101" s="252">
        <v>2</v>
      </c>
      <c r="DM101" s="252">
        <v>-3</v>
      </c>
      <c r="DN101" s="252" t="s">
        <v>528</v>
      </c>
      <c r="DO101" s="252">
        <v>50</v>
      </c>
      <c r="DP101" s="252">
        <v>10</v>
      </c>
      <c r="DQ101" s="252">
        <v>16</v>
      </c>
      <c r="DR101" s="29"/>
      <c r="DS101" s="29"/>
      <c r="DT101" s="29"/>
      <c r="DU101" s="29"/>
      <c r="DV101" s="29"/>
      <c r="DW101" s="29"/>
      <c r="DX101" s="278" t="s">
        <v>1325</v>
      </c>
      <c r="DY101" s="317"/>
      <c r="DZ101" s="317" t="s">
        <v>1286</v>
      </c>
      <c r="EA101" s="29"/>
      <c r="EB101" s="428"/>
      <c r="EC101" s="428"/>
      <c r="ED101" s="428"/>
      <c r="EE101" s="428"/>
      <c r="EF101" s="428"/>
      <c r="EG101" s="428"/>
      <c r="EH101" s="428"/>
      <c r="EI101" s="428"/>
      <c r="EJ101" s="428"/>
      <c r="EK101" s="428"/>
      <c r="EL101" s="428"/>
      <c r="EM101" s="428"/>
      <c r="EN101" s="29"/>
      <c r="EO101" s="29"/>
      <c r="EP101" s="29"/>
      <c r="EQ101" s="29"/>
      <c r="ER101" s="29"/>
      <c r="ES101" s="29"/>
      <c r="ET101" s="29"/>
      <c r="EU101" s="29"/>
      <c r="EV101" s="30"/>
      <c r="EW101" s="30"/>
      <c r="EX101" s="30"/>
      <c r="EY101" s="30"/>
      <c r="EZ101" s="30"/>
      <c r="FA101" s="30"/>
      <c r="FB101" s="30"/>
      <c r="FC101" s="30"/>
      <c r="FD101" s="30"/>
      <c r="FE101" s="30"/>
      <c r="FF101" s="30"/>
      <c r="FG101" s="30"/>
      <c r="FH101" s="30"/>
      <c r="FI101" s="30"/>
      <c r="FJ101" s="30"/>
      <c r="FK101" s="30"/>
      <c r="FL101" s="30"/>
    </row>
    <row r="102" spans="1:168" ht="15.95" customHeight="1" x14ac:dyDescent="0.3">
      <c r="A102" s="539" t="s">
        <v>986</v>
      </c>
      <c r="B102" s="539"/>
      <c r="C102" s="531"/>
      <c r="D102" s="531"/>
      <c r="E102" s="531"/>
      <c r="F102" s="531"/>
      <c r="G102" s="531"/>
      <c r="H102" s="531"/>
      <c r="I102" s="30"/>
      <c r="J102" s="30"/>
      <c r="K102" s="30"/>
      <c r="L102" s="542" t="s">
        <v>202</v>
      </c>
      <c r="M102" s="542"/>
      <c r="N102" s="542"/>
      <c r="O102" s="468">
        <f>IF($C$102=$DF$100,DJ100,IF($C$102=$DF$101,DJ101,IF($C$102=$DF$102,DJ102,IF($C$102=$DF$103,DJ103,IF($C$102=$DF$104,DJ104,IF($C$102=$DF$105,DJ105,IF($C$102=$DF$106,DJ106,IF($C$102=$DF$107,DJ107,IF($C$102=$DF$108,DJ108,IF($C$102=$DF$109,DJ109,IF($C$102=$DF$110,DJ110,IF($C$102=$DF$111,DJ111,IF($C$102=$DF$112,DJ112,0)))))))))))))</f>
        <v>0</v>
      </c>
      <c r="P102" s="468"/>
      <c r="Q102" s="30"/>
      <c r="R102" s="542" t="s">
        <v>1008</v>
      </c>
      <c r="S102" s="542"/>
      <c r="T102" s="542"/>
      <c r="U102" s="468">
        <f>IF($C$102=$DF$100,DI100,IF($C$102=$DF$101,DI101,IF($C$102=$DF$102,DI102,IF($C$102=$DF$103,DI103,IF($C$102=$DF$104,DI104,IF($C$102=$DF$105,DI105,IF($C$102=$DF$106,DI106,IF($C$102=$DF$107,DI107,IF($C$102=$DF$108,DI108,IF($C$102=$DF$109,DI109,IF($C$102=$DF$110,DI110,IF($C$102=$DF$111,DI111,IF($C$102=$DF$112,DI112,0)))))))))))))</f>
        <v>0</v>
      </c>
      <c r="V102" s="468"/>
      <c r="W102" s="30"/>
      <c r="X102" s="38"/>
      <c r="Y102" s="38"/>
      <c r="Z102" s="38"/>
      <c r="AA102" s="30"/>
      <c r="AB102" s="471"/>
      <c r="AC102" s="471"/>
      <c r="AD102" s="471"/>
      <c r="AE102" s="471"/>
      <c r="AF102" s="471"/>
      <c r="AG102" s="29"/>
      <c r="AH102" s="29"/>
      <c r="AI102" s="29"/>
      <c r="AJ102" s="29"/>
      <c r="AK102" s="29"/>
      <c r="AL102" s="29">
        <v>19</v>
      </c>
      <c r="AM102" s="376" t="str">
        <f t="shared" si="104"/>
        <v xml:space="preserve"> </v>
      </c>
      <c r="AN102" s="29"/>
      <c r="AO102" s="387" t="s">
        <v>1566</v>
      </c>
      <c r="AP102" s="29"/>
      <c r="AQ102" s="29"/>
      <c r="AR102" s="29"/>
      <c r="AS102" s="29">
        <v>4</v>
      </c>
      <c r="AT102" s="234" t="s">
        <v>826</v>
      </c>
      <c r="AU102" s="234" t="s">
        <v>827</v>
      </c>
      <c r="AV102" s="234" t="s">
        <v>828</v>
      </c>
      <c r="AW102" s="234">
        <v>20</v>
      </c>
      <c r="AX102" s="234">
        <v>3</v>
      </c>
      <c r="AY102" s="234">
        <v>13</v>
      </c>
      <c r="AZ102" s="389" t="s">
        <v>908</v>
      </c>
      <c r="BA102" s="234">
        <v>1</v>
      </c>
      <c r="BB102" s="234">
        <v>0</v>
      </c>
      <c r="BC102" s="234">
        <v>3</v>
      </c>
      <c r="BD102" s="234">
        <v>40</v>
      </c>
      <c r="BE102" s="375">
        <f t="shared" si="107"/>
        <v>7.5</v>
      </c>
      <c r="BF102" s="234">
        <v>10</v>
      </c>
      <c r="BG102" s="29"/>
      <c r="BH102" s="29"/>
      <c r="BI102" s="36"/>
      <c r="BJ102" s="409"/>
      <c r="BK102" s="408"/>
      <c r="BL102" s="408"/>
      <c r="BM102" s="408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401" t="s">
        <v>1530</v>
      </c>
      <c r="CB102" s="394" t="s">
        <v>847</v>
      </c>
      <c r="CC102" s="395" t="s">
        <v>1573</v>
      </c>
      <c r="CD102" s="394" t="s">
        <v>1575</v>
      </c>
      <c r="CE102" s="399"/>
      <c r="CF102" s="394" t="s">
        <v>1578</v>
      </c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9"/>
      <c r="DF102" s="29" t="s">
        <v>990</v>
      </c>
      <c r="DG102" s="29"/>
      <c r="DH102" s="29"/>
      <c r="DI102" s="252">
        <v>5</v>
      </c>
      <c r="DJ102" s="252">
        <v>12</v>
      </c>
      <c r="DK102" s="252" t="s">
        <v>909</v>
      </c>
      <c r="DL102" s="252">
        <v>4</v>
      </c>
      <c r="DM102" s="252">
        <v>-1</v>
      </c>
      <c r="DN102" s="252" t="s">
        <v>522</v>
      </c>
      <c r="DO102" s="252">
        <v>20</v>
      </c>
      <c r="DP102" s="252">
        <v>5</v>
      </c>
      <c r="DQ102" s="252">
        <v>14</v>
      </c>
      <c r="DR102" s="29"/>
      <c r="DS102" s="29"/>
      <c r="DT102" s="29"/>
      <c r="DU102" s="29"/>
      <c r="DV102" s="29"/>
      <c r="DW102" s="29"/>
      <c r="DX102" s="282" t="s">
        <v>1326</v>
      </c>
      <c r="DY102" s="319" t="s">
        <v>1325</v>
      </c>
      <c r="DZ102" s="319" t="s">
        <v>1287</v>
      </c>
      <c r="EA102" s="29"/>
      <c r="EB102" s="428"/>
      <c r="EC102" s="428"/>
      <c r="ED102" s="428"/>
      <c r="EE102" s="428"/>
      <c r="EF102" s="428"/>
      <c r="EG102" s="428"/>
      <c r="EH102" s="428"/>
      <c r="EI102" s="428"/>
      <c r="EJ102" s="428"/>
      <c r="EK102" s="428"/>
      <c r="EL102" s="428"/>
      <c r="EM102" s="428"/>
      <c r="EN102" s="29"/>
      <c r="EO102" s="29"/>
      <c r="EP102" s="29"/>
      <c r="EQ102" s="29"/>
      <c r="ER102" s="29"/>
      <c r="ES102" s="29"/>
      <c r="ET102" s="29"/>
      <c r="EU102" s="29"/>
      <c r="EV102" s="30"/>
      <c r="EW102" s="30"/>
      <c r="EX102" s="30"/>
      <c r="EY102" s="30"/>
      <c r="EZ102" s="30"/>
      <c r="FA102" s="30"/>
      <c r="FB102" s="30"/>
      <c r="FC102" s="30"/>
      <c r="FD102" s="30"/>
      <c r="FE102" s="30"/>
      <c r="FF102" s="30"/>
      <c r="FG102" s="30"/>
      <c r="FH102" s="30"/>
      <c r="FI102" s="30"/>
      <c r="FJ102" s="30"/>
      <c r="FK102" s="30"/>
      <c r="FL102" s="30"/>
    </row>
    <row r="103" spans="1:168" ht="15.95" customHeight="1" x14ac:dyDescent="0.25">
      <c r="A103" s="226"/>
      <c r="B103" s="226"/>
      <c r="C103" s="553" t="s">
        <v>791</v>
      </c>
      <c r="D103" s="553"/>
      <c r="E103" s="553"/>
      <c r="F103" s="553"/>
      <c r="G103" s="553"/>
      <c r="H103" s="553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8"/>
      <c r="Y103" s="30"/>
      <c r="Z103" s="30"/>
      <c r="AA103" s="30"/>
      <c r="AB103" s="471"/>
      <c r="AC103" s="471"/>
      <c r="AD103" s="471"/>
      <c r="AE103" s="471"/>
      <c r="AF103" s="471"/>
      <c r="AG103" s="29"/>
      <c r="AH103" s="29"/>
      <c r="AI103" s="29"/>
      <c r="AJ103" s="29"/>
      <c r="AK103" s="29"/>
      <c r="AL103" s="29">
        <v>20</v>
      </c>
      <c r="AM103" s="376" t="str">
        <f t="shared" si="104"/>
        <v xml:space="preserve"> </v>
      </c>
      <c r="AN103" s="29"/>
      <c r="AO103" s="29"/>
      <c r="AP103" s="29"/>
      <c r="AQ103" s="29"/>
      <c r="AR103" s="29"/>
      <c r="AS103" s="29">
        <v>5</v>
      </c>
      <c r="AT103" s="234" t="s">
        <v>829</v>
      </c>
      <c r="AU103" s="234" t="s">
        <v>819</v>
      </c>
      <c r="AV103" s="234" t="s">
        <v>475</v>
      </c>
      <c r="AW103" s="234">
        <v>20</v>
      </c>
      <c r="AX103" s="234">
        <v>3</v>
      </c>
      <c r="AY103" s="234">
        <v>13</v>
      </c>
      <c r="AZ103" s="234" t="s">
        <v>1551</v>
      </c>
      <c r="BA103" s="234">
        <v>1</v>
      </c>
      <c r="BB103" s="234">
        <v>-5</v>
      </c>
      <c r="BC103" s="234">
        <v>2</v>
      </c>
      <c r="BD103" s="234">
        <v>25</v>
      </c>
      <c r="BE103" s="375">
        <f t="shared" si="107"/>
        <v>7.5</v>
      </c>
      <c r="BF103" s="234">
        <v>10</v>
      </c>
      <c r="BG103" s="29"/>
      <c r="BH103" s="29"/>
      <c r="BI103" s="36"/>
      <c r="BJ103" s="409"/>
      <c r="BK103" s="408"/>
      <c r="BL103" s="408"/>
      <c r="BM103" s="408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401" t="s">
        <v>1531</v>
      </c>
      <c r="CB103" s="394" t="s">
        <v>847</v>
      </c>
      <c r="CC103" s="399"/>
      <c r="CD103" s="400"/>
      <c r="CE103" s="399"/>
      <c r="CF103" s="400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9"/>
      <c r="DF103" s="29" t="s">
        <v>1009</v>
      </c>
      <c r="DG103" s="29"/>
      <c r="DH103" s="29"/>
      <c r="DI103" s="252">
        <v>8</v>
      </c>
      <c r="DJ103" s="252">
        <v>15</v>
      </c>
      <c r="DK103" s="252" t="s">
        <v>908</v>
      </c>
      <c r="DL103" s="252">
        <v>1</v>
      </c>
      <c r="DM103" s="252">
        <v>0</v>
      </c>
      <c r="DN103" s="252" t="s">
        <v>475</v>
      </c>
      <c r="DO103" s="252">
        <v>60</v>
      </c>
      <c r="DP103" s="252">
        <v>20</v>
      </c>
      <c r="DQ103" s="252">
        <v>20</v>
      </c>
      <c r="DR103" s="29"/>
      <c r="DS103" s="29"/>
      <c r="DT103" s="29"/>
      <c r="DU103" s="29"/>
      <c r="DV103" s="29"/>
      <c r="DW103" s="29"/>
      <c r="DX103" s="278" t="s">
        <v>1497</v>
      </c>
      <c r="DY103" s="315" t="s">
        <v>1326</v>
      </c>
      <c r="DZ103" s="315" t="s">
        <v>1288</v>
      </c>
      <c r="EA103" s="29"/>
      <c r="EB103" s="428"/>
      <c r="EC103" s="428"/>
      <c r="ED103" s="428"/>
      <c r="EE103" s="428"/>
      <c r="EF103" s="428"/>
      <c r="EG103" s="428"/>
      <c r="EH103" s="428"/>
      <c r="EI103" s="428"/>
      <c r="EJ103" s="428"/>
      <c r="EK103" s="428"/>
      <c r="EL103" s="428"/>
      <c r="EM103" s="428"/>
      <c r="EN103" s="29"/>
      <c r="EO103" s="29"/>
      <c r="EP103" s="29"/>
      <c r="EQ103" s="29"/>
      <c r="ER103" s="29"/>
      <c r="ES103" s="29"/>
      <c r="ET103" s="29"/>
      <c r="EU103" s="29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  <c r="FH103" s="30"/>
      <c r="FI103" s="30"/>
      <c r="FJ103" s="30"/>
      <c r="FK103" s="30"/>
      <c r="FL103" s="30"/>
    </row>
    <row r="104" spans="1:168" ht="15.95" customHeight="1" x14ac:dyDescent="0.25">
      <c r="A104" s="532" t="s">
        <v>423</v>
      </c>
      <c r="B104" s="532"/>
      <c r="C104" s="533"/>
      <c r="D104" s="198" t="str">
        <f>Skills!E24</f>
        <v xml:space="preserve"> </v>
      </c>
      <c r="E104" s="17"/>
      <c r="F104" s="198">
        <f>IF(O102&gt;$B$6,(O102-$B$6)*-1,0)</f>
        <v>0</v>
      </c>
      <c r="G104" s="17"/>
      <c r="H104" s="245">
        <f>IF($B$2="Fine",8,IF($B$2="Diminutive",4,IF($B$2="Tiny", 2,IF($B$2="Small",1,IF($B$2="Medium",0,IF($B$2="Large",-1,IF($B$2="Huge",-2,IF($B$2="Gargantuan",-4,IF($B$2="Colossal",-8,0)))))))))</f>
        <v>0</v>
      </c>
      <c r="I104" s="30"/>
      <c r="J104" s="244"/>
      <c r="K104" s="30"/>
      <c r="L104" s="30"/>
      <c r="M104" s="30"/>
      <c r="N104" s="542" t="s">
        <v>1000</v>
      </c>
      <c r="O104" s="542"/>
      <c r="P104" s="542"/>
      <c r="Q104" s="468">
        <f>IF($C$102=$DF$100,DP100,IF($C$102=$DF$101,DP101,IF($C$102=$DF$102,DP102,IF($C$102=$DF$103,DP103,IF($C$102=$DF$104,DP104,IF($C$102=$DF$105,DP105,IF($C$102=$DF$106,DP106,IF($C$102=$DF$107,DP107,IF($C$102=$DF$108,DP108,IF($C$102=$DF$109,DP109,IF($C$102=$DF$110,DP110,IF($C$102=$DF$111,DP111,IF($C$102=$DF$112,DP112,0)))))))))))))</f>
        <v>0</v>
      </c>
      <c r="R104" s="468"/>
      <c r="S104" s="468"/>
      <c r="T104" s="30"/>
      <c r="U104" s="29"/>
      <c r="V104" s="38"/>
      <c r="W104" s="38"/>
      <c r="Y104" s="30"/>
      <c r="Z104" s="30"/>
      <c r="AA104" s="31"/>
      <c r="AB104" s="471"/>
      <c r="AC104" s="471"/>
      <c r="AD104" s="471"/>
      <c r="AE104" s="471"/>
      <c r="AF104" s="471"/>
      <c r="AG104" s="29"/>
      <c r="AH104" s="29"/>
      <c r="AI104" s="29"/>
      <c r="AJ104" s="29"/>
      <c r="AK104" s="29"/>
      <c r="AL104" s="29">
        <v>21</v>
      </c>
      <c r="AM104" s="376" t="str">
        <f t="shared" si="104"/>
        <v xml:space="preserve"> </v>
      </c>
      <c r="AN104" s="29"/>
      <c r="AO104" s="391" t="s">
        <v>202</v>
      </c>
      <c r="AP104" s="468">
        <f>IF(C90=$AH$1,AY30,IF(C90=$AH$2,AY64,IF(C90=$AH$3,AY95,IF(C90=$AH$4,AY126,IF(C90=$AH$5,AY157,IF(C90=$AH$6,AY188,0))))))</f>
        <v>0</v>
      </c>
      <c r="AQ104" s="468"/>
      <c r="AR104" s="29"/>
      <c r="AS104" s="29">
        <v>6</v>
      </c>
      <c r="AT104" s="234" t="s">
        <v>830</v>
      </c>
      <c r="AU104" s="234" t="s">
        <v>510</v>
      </c>
      <c r="AV104" s="234" t="s">
        <v>739</v>
      </c>
      <c r="AW104" s="234">
        <v>20</v>
      </c>
      <c r="AX104" s="234">
        <v>3</v>
      </c>
      <c r="AY104" s="234">
        <v>15</v>
      </c>
      <c r="AZ104" s="234" t="s">
        <v>1551</v>
      </c>
      <c r="BA104" s="234">
        <v>1</v>
      </c>
      <c r="BB104" s="234">
        <v>-4</v>
      </c>
      <c r="BC104" s="234">
        <v>3</v>
      </c>
      <c r="BD104" s="234">
        <v>30</v>
      </c>
      <c r="BE104" s="375">
        <f t="shared" si="107"/>
        <v>7.5</v>
      </c>
      <c r="BF104" s="234">
        <v>10</v>
      </c>
      <c r="BG104" s="29"/>
      <c r="BH104" s="29"/>
      <c r="BI104" s="36"/>
      <c r="BJ104" s="409"/>
      <c r="BK104" s="408"/>
      <c r="BL104" s="408"/>
      <c r="BM104" s="408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401" t="s">
        <v>1532</v>
      </c>
      <c r="CB104" s="394" t="s">
        <v>847</v>
      </c>
      <c r="CC104" s="395" t="s">
        <v>1573</v>
      </c>
      <c r="CD104" s="394" t="s">
        <v>1575</v>
      </c>
      <c r="CE104" s="399"/>
      <c r="CF104" s="394" t="s">
        <v>1578</v>
      </c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9"/>
      <c r="DF104" s="29" t="s">
        <v>993</v>
      </c>
      <c r="DG104" s="29"/>
      <c r="DH104" s="29"/>
      <c r="DI104" s="252">
        <v>10</v>
      </c>
      <c r="DJ104" s="252">
        <v>0</v>
      </c>
      <c r="DK104" s="252" t="s">
        <v>908</v>
      </c>
      <c r="DL104" s="252">
        <v>1</v>
      </c>
      <c r="DM104" s="252">
        <v>0</v>
      </c>
      <c r="DN104" s="252" t="s">
        <v>1004</v>
      </c>
      <c r="DO104" s="252">
        <v>60</v>
      </c>
      <c r="DP104" s="252">
        <v>100</v>
      </c>
      <c r="DQ104" s="252">
        <v>30</v>
      </c>
      <c r="DR104" s="29"/>
      <c r="DS104" s="29"/>
      <c r="DT104" s="29"/>
      <c r="DU104" s="29"/>
      <c r="DV104" s="29"/>
      <c r="DW104" s="29"/>
      <c r="DX104" s="282" t="s">
        <v>1327</v>
      </c>
      <c r="DY104" s="314"/>
      <c r="DZ104" s="314" t="s">
        <v>1289</v>
      </c>
      <c r="EA104" s="29"/>
      <c r="EB104" s="428"/>
      <c r="EC104" s="428"/>
      <c r="ED104" s="428"/>
      <c r="EE104" s="428"/>
      <c r="EF104" s="428"/>
      <c r="EG104" s="428"/>
      <c r="EH104" s="428"/>
      <c r="EI104" s="428"/>
      <c r="EJ104" s="428"/>
      <c r="EK104" s="428"/>
      <c r="EL104" s="428"/>
      <c r="EM104" s="428"/>
      <c r="EN104" s="29"/>
      <c r="EO104" s="29"/>
      <c r="EP104" s="29"/>
      <c r="EQ104" s="29"/>
      <c r="ER104" s="29"/>
      <c r="ES104" s="29"/>
      <c r="ET104" s="29"/>
      <c r="EU104" s="29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  <c r="FH104" s="30"/>
      <c r="FI104" s="30"/>
      <c r="FJ104" s="30"/>
      <c r="FK104" s="30"/>
      <c r="FL104" s="30"/>
    </row>
    <row r="105" spans="1:168" ht="15.95" customHeight="1" x14ac:dyDescent="0.25">
      <c r="A105" s="29"/>
      <c r="B105" s="29"/>
      <c r="C105" s="29"/>
      <c r="D105" s="148" t="s">
        <v>95</v>
      </c>
      <c r="E105" s="149"/>
      <c r="F105" s="148" t="s">
        <v>424</v>
      </c>
      <c r="G105" s="67"/>
      <c r="H105" s="140" t="s">
        <v>37</v>
      </c>
      <c r="I105" s="30"/>
      <c r="J105" s="140" t="s">
        <v>38</v>
      </c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29"/>
      <c r="V105" s="38"/>
      <c r="W105" s="38"/>
      <c r="X105" s="38"/>
      <c r="Y105" s="30"/>
      <c r="Z105" s="30"/>
      <c r="AA105" s="31"/>
      <c r="AB105" s="471"/>
      <c r="AC105" s="471"/>
      <c r="AD105" s="471"/>
      <c r="AE105" s="471"/>
      <c r="AF105" s="471"/>
      <c r="AG105" s="29"/>
      <c r="AH105" s="29"/>
      <c r="AI105" s="29"/>
      <c r="AJ105" s="29"/>
      <c r="AK105" s="29"/>
      <c r="AL105" s="29">
        <v>22</v>
      </c>
      <c r="AM105" s="376" t="str">
        <f t="shared" si="104"/>
        <v xml:space="preserve"> </v>
      </c>
      <c r="AN105" s="29"/>
      <c r="AO105" s="391" t="s">
        <v>420</v>
      </c>
      <c r="AP105" s="468">
        <f>IF(C90=$AH$1,AZ30,IF(C90=$AH$2,AZ64,IF(C90=$AH$3,AZ95,IF(C90=$AH$4,AZ126,IF(C90=$AH$5,AZ157,IF(C90=$AH$6,AZ188,0))))))</f>
        <v>0</v>
      </c>
      <c r="AQ105" s="468"/>
      <c r="AR105" s="29"/>
      <c r="AS105" s="29">
        <v>7</v>
      </c>
      <c r="AT105" s="234" t="s">
        <v>831</v>
      </c>
      <c r="AU105" s="234" t="s">
        <v>801</v>
      </c>
      <c r="AV105" s="234" t="s">
        <v>510</v>
      </c>
      <c r="AW105" s="234">
        <v>20</v>
      </c>
      <c r="AX105" s="234">
        <v>3</v>
      </c>
      <c r="AY105" s="234">
        <v>12</v>
      </c>
      <c r="AZ105" s="234" t="s">
        <v>1551</v>
      </c>
      <c r="BA105" s="234">
        <v>1</v>
      </c>
      <c r="BB105" s="234">
        <v>-4</v>
      </c>
      <c r="BC105" s="234">
        <v>5</v>
      </c>
      <c r="BD105" s="234">
        <v>20</v>
      </c>
      <c r="BE105" s="375">
        <f t="shared" si="107"/>
        <v>7.5</v>
      </c>
      <c r="BF105" s="234">
        <v>10</v>
      </c>
      <c r="BG105" s="233"/>
      <c r="BH105" s="233"/>
      <c r="BI105" s="408"/>
      <c r="BJ105" s="409"/>
      <c r="BK105" s="408"/>
      <c r="BL105" s="408"/>
      <c r="BM105" s="408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401" t="s">
        <v>1533</v>
      </c>
      <c r="CB105" s="394" t="s">
        <v>847</v>
      </c>
      <c r="CC105" s="399"/>
      <c r="CD105" s="394" t="s">
        <v>1575</v>
      </c>
      <c r="CE105" s="395" t="s">
        <v>1573</v>
      </c>
      <c r="CF105" s="394" t="s">
        <v>1578</v>
      </c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9"/>
      <c r="DF105" s="29" t="s">
        <v>992</v>
      </c>
      <c r="DG105" s="29"/>
      <c r="DH105" s="29"/>
      <c r="DI105" s="252">
        <v>5</v>
      </c>
      <c r="DJ105" s="252">
        <v>12</v>
      </c>
      <c r="DK105" s="252" t="s">
        <v>909</v>
      </c>
      <c r="DL105" s="252">
        <v>5</v>
      </c>
      <c r="DM105" s="252">
        <v>-2</v>
      </c>
      <c r="DN105" s="252" t="s">
        <v>509</v>
      </c>
      <c r="DO105" s="252">
        <v>25</v>
      </c>
      <c r="DP105" s="252">
        <v>5</v>
      </c>
      <c r="DQ105" s="252">
        <v>20</v>
      </c>
      <c r="DR105" s="29"/>
      <c r="DS105" s="29"/>
      <c r="DT105" s="29"/>
      <c r="DU105" s="29"/>
      <c r="DV105" s="29"/>
      <c r="DW105" s="29"/>
      <c r="DX105" s="278" t="s">
        <v>1328</v>
      </c>
      <c r="DY105" s="315" t="s">
        <v>1327</v>
      </c>
      <c r="DZ105" s="315" t="s">
        <v>1290</v>
      </c>
      <c r="EA105" s="29"/>
      <c r="EB105" s="428"/>
      <c r="EC105" s="428"/>
      <c r="ED105" s="428"/>
      <c r="EE105" s="428"/>
      <c r="EF105" s="428"/>
      <c r="EG105" s="428"/>
      <c r="EH105" s="428"/>
      <c r="EI105" s="428"/>
      <c r="EJ105" s="428"/>
      <c r="EK105" s="428"/>
      <c r="EL105" s="428"/>
      <c r="EM105" s="428"/>
      <c r="EN105" s="29"/>
      <c r="EO105" s="29"/>
      <c r="EP105" s="29"/>
      <c r="EQ105" s="29"/>
      <c r="ER105" s="29"/>
      <c r="ES105" s="29"/>
      <c r="ET105" s="29"/>
      <c r="EU105" s="29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</row>
    <row r="106" spans="1:168" ht="15.95" customHeight="1" x14ac:dyDescent="0.25">
      <c r="A106" s="532" t="s">
        <v>426</v>
      </c>
      <c r="B106" s="532"/>
      <c r="C106" s="532"/>
      <c r="D106" s="142" t="str">
        <f>IF(D104=" "," ",IF(W107="Burst","N/A",D104+F104+H104+J104))</f>
        <v xml:space="preserve"> </v>
      </c>
      <c r="E106" s="30"/>
      <c r="F106" s="532" t="s">
        <v>430</v>
      </c>
      <c r="G106" s="532"/>
      <c r="H106" s="532"/>
      <c r="I106" s="532"/>
      <c r="J106" s="532"/>
      <c r="K106" s="533"/>
      <c r="L106" s="198" t="str">
        <f>IF(D104=" "," ",IF(OR(W107="Burst",W107="Single Shot",W107="Semi-Automatic"),"N/A",D104+F104+H104+J104+W109))</f>
        <v xml:space="preserve"> </v>
      </c>
      <c r="M106" s="30"/>
      <c r="N106" s="30"/>
      <c r="O106" s="29"/>
      <c r="P106" s="536" t="str">
        <f>CONCATENATE(IF($Z$35=$DW$165,"19-"," "),IF(AB27=DS50,"20/×3","20/×2"))</f>
        <v xml:space="preserve"> 20/×2</v>
      </c>
      <c r="Q106" s="537"/>
      <c r="R106" s="537"/>
      <c r="S106" s="537"/>
      <c r="T106" s="538"/>
      <c r="U106" s="29"/>
      <c r="V106" s="38"/>
      <c r="W106" s="38"/>
      <c r="X106" s="38"/>
      <c r="Y106" s="30"/>
      <c r="Z106" s="30"/>
      <c r="AA106" s="31"/>
      <c r="AB106" s="471"/>
      <c r="AC106" s="471"/>
      <c r="AD106" s="471"/>
      <c r="AE106" s="471"/>
      <c r="AF106" s="471"/>
      <c r="AG106" s="29"/>
      <c r="AH106" s="29"/>
      <c r="AI106" s="29"/>
      <c r="AJ106" s="29"/>
      <c r="AK106" s="29"/>
      <c r="AL106" s="29">
        <v>23</v>
      </c>
      <c r="AM106" s="376" t="str">
        <f t="shared" si="104"/>
        <v xml:space="preserve"> </v>
      </c>
      <c r="AN106" s="29"/>
      <c r="AO106" s="391" t="s">
        <v>421</v>
      </c>
      <c r="AP106" s="468">
        <f>IF(C90=$AH$1,BA30,IF(C90=$AH$2,BA64,IF(C90=$AH$3,BA95,IF(C90=$AH$4,BA126,IF(C90=$AH$5,BA157,IF(C90=$AH$6,BA188,0))))))+IF(BJ52="RoF +1",1,0)+IF(BK52="RoF +1",1,0)+IF(BL52="RoF +1",1,0)+IF(BM52="RoF +1",1,0)+IF(OR(N90="Heat Sink",N90=CV15),1,0)+IF(OR(S90="Heat Sink",S90=CV15),1,0)+IF(OR(W90="Heat Sink",W90=CV15),1,0)+IF(N90=CV16,2,0)+IF(S90=CV16,2,0)+IF(W90=CV16,2,0)+IF(N90=CV17,3,0)+IF(S90=CV17,3,0)+IF(W90=CV17,3,0)+IF(N90=CV18,-1,0)+IF(S90=CV18,-1,0)+IF(W90=CV18,-1,0)+IF(N90=CV19,-1,0)+IF(S90=CV19,-1,0)+IF(W90=CV19,-1,0)+IF(N90=CS23,-1,0)+IF(S90=CS23,-1,0)+IF(W90=CS23,-1,0)+IF(N90=CY23,-2,0)+IF(S90=CY23,-2,0)+IF(W90=CY23,-2,0)+IF(N90=CY20,1,0)+IF(S90=CY20,1,0)+IF(W90=CY20,1,0)+IF(N90=CS31,-3,0)+IF(S90=CS31,-3,0)+IF(W90=CS31,-3,0)</f>
        <v>0</v>
      </c>
      <c r="AQ106" s="468"/>
      <c r="AR106" s="29"/>
      <c r="AS106" s="29">
        <v>8</v>
      </c>
      <c r="AT106" s="234" t="s">
        <v>832</v>
      </c>
      <c r="AU106" s="234" t="s">
        <v>719</v>
      </c>
      <c r="AV106" s="234" t="s">
        <v>796</v>
      </c>
      <c r="AW106" s="234">
        <v>20</v>
      </c>
      <c r="AX106" s="234">
        <v>2</v>
      </c>
      <c r="AY106" s="234">
        <v>11</v>
      </c>
      <c r="AZ106" s="234" t="s">
        <v>909</v>
      </c>
      <c r="BA106" s="234">
        <v>2</v>
      </c>
      <c r="BB106" s="234">
        <v>-5</v>
      </c>
      <c r="BC106" s="234">
        <v>8</v>
      </c>
      <c r="BD106" s="234">
        <v>25</v>
      </c>
      <c r="BE106" s="375">
        <f t="shared" si="107"/>
        <v>7.5</v>
      </c>
      <c r="BF106" s="234">
        <v>10</v>
      </c>
      <c r="BG106" s="233"/>
      <c r="BH106" s="233"/>
      <c r="BI106" s="408"/>
      <c r="BJ106" s="409"/>
      <c r="BK106" s="408"/>
      <c r="BL106" s="408"/>
      <c r="BM106" s="408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9"/>
      <c r="DF106" s="29" t="s">
        <v>989</v>
      </c>
      <c r="DG106" s="29"/>
      <c r="DH106" s="29"/>
      <c r="DI106" s="252">
        <v>8</v>
      </c>
      <c r="DJ106" s="252">
        <v>0</v>
      </c>
      <c r="DK106" s="252" t="s">
        <v>908</v>
      </c>
      <c r="DL106" s="252">
        <v>1</v>
      </c>
      <c r="DM106" s="252">
        <v>0</v>
      </c>
      <c r="DN106" s="252" t="s">
        <v>1005</v>
      </c>
      <c r="DO106" s="252">
        <v>200</v>
      </c>
      <c r="DP106" s="252">
        <v>100</v>
      </c>
      <c r="DQ106" s="252">
        <v>30</v>
      </c>
      <c r="DR106" s="29"/>
      <c r="DS106" s="29"/>
      <c r="DT106" s="29"/>
      <c r="DU106" s="29"/>
      <c r="DV106" s="29"/>
      <c r="DW106" s="29"/>
      <c r="DX106" s="282" t="s">
        <v>1329</v>
      </c>
      <c r="DY106" s="316" t="s">
        <v>1328</v>
      </c>
      <c r="DZ106" s="316" t="s">
        <v>1291</v>
      </c>
      <c r="EA106" s="29"/>
      <c r="EB106" s="428"/>
      <c r="EC106" s="428"/>
      <c r="ED106" s="428"/>
      <c r="EE106" s="428"/>
      <c r="EF106" s="428"/>
      <c r="EG106" s="428"/>
      <c r="EH106" s="428"/>
      <c r="EI106" s="428"/>
      <c r="EJ106" s="428"/>
      <c r="EK106" s="428"/>
      <c r="EL106" s="428"/>
      <c r="EM106" s="428"/>
      <c r="EN106" s="29"/>
      <c r="EO106" s="29"/>
      <c r="EP106" s="29"/>
      <c r="EQ106" s="29"/>
      <c r="ER106" s="29"/>
      <c r="ES106" s="29"/>
      <c r="ET106" s="29"/>
      <c r="EU106" s="29"/>
      <c r="EV106" s="30"/>
      <c r="EW106" s="30"/>
      <c r="EX106" s="30"/>
      <c r="EY106" s="30"/>
      <c r="EZ106" s="30"/>
      <c r="FA106" s="30"/>
      <c r="FB106" s="30"/>
      <c r="FC106" s="30"/>
      <c r="FD106" s="30"/>
      <c r="FE106" s="30"/>
      <c r="FF106" s="30"/>
      <c r="FG106" s="30"/>
      <c r="FH106" s="30"/>
      <c r="FI106" s="30"/>
      <c r="FJ106" s="30"/>
      <c r="FK106" s="30"/>
      <c r="FL106" s="30"/>
    </row>
    <row r="107" spans="1:168" ht="15.95" customHeight="1" x14ac:dyDescent="0.25">
      <c r="A107" s="532" t="s">
        <v>427</v>
      </c>
      <c r="B107" s="532"/>
      <c r="C107" s="532"/>
      <c r="D107" s="142" t="str">
        <f>IF(D104=" "," ",IF(OR(W107="Burst",W107="Single Shot"),"N/A",D104+F104+H104+J104+W109))</f>
        <v xml:space="preserve"> </v>
      </c>
      <c r="E107" s="30"/>
      <c r="F107" s="532" t="s">
        <v>431</v>
      </c>
      <c r="G107" s="532"/>
      <c r="H107" s="532"/>
      <c r="I107" s="532"/>
      <c r="J107" s="532"/>
      <c r="K107" s="533"/>
      <c r="L107" s="198" t="str">
        <f>IF(D104=" "," ",IF(OR(W107="Burst",W107="Single Shot",W107="Semi-Automatic"),"N/A",D104+F104+H104+J104+W109*2))</f>
        <v xml:space="preserve"> </v>
      </c>
      <c r="M107" s="30"/>
      <c r="N107" s="30"/>
      <c r="O107" s="29"/>
      <c r="P107" s="526" t="s">
        <v>85</v>
      </c>
      <c r="Q107" s="526"/>
      <c r="R107" s="526"/>
      <c r="S107" s="526"/>
      <c r="T107" s="526"/>
      <c r="U107" s="29"/>
      <c r="V107" s="246" t="s">
        <v>420</v>
      </c>
      <c r="W107" s="468">
        <f>IF($C$102=$DF$100,DK100,IF($C$102=$DF$101,DK101,IF($C$102=$DF$102,DK102,IF($C$102=$DF$103,DK103,IF($C$102=$DF$104,DK104,IF($C$102=$DF$105,DK105,IF($C$102=$DF$106,DK106,IF($C$102=$DF$107,DK107,IF($C$102=$DF$108,DK108,IF($C$102=$DF$109,DK109,IF($C$102=$DF$110,DK110,IF($C$102=$DF$111,DK111,IF($C$102=$DF$112,DK112,0)))))))))))))</f>
        <v>0</v>
      </c>
      <c r="X107" s="468"/>
      <c r="Y107" s="30"/>
      <c r="Z107" s="30"/>
      <c r="AA107" s="31"/>
      <c r="AB107" s="471"/>
      <c r="AC107" s="471"/>
      <c r="AD107" s="471"/>
      <c r="AE107" s="471"/>
      <c r="AF107" s="471"/>
      <c r="AG107" s="29"/>
      <c r="AH107" s="29"/>
      <c r="AI107" s="29"/>
      <c r="AJ107" s="29"/>
      <c r="AK107" s="29"/>
      <c r="AL107" s="29"/>
      <c r="AM107" s="29"/>
      <c r="AN107" s="29"/>
      <c r="AO107" s="391" t="s">
        <v>190</v>
      </c>
      <c r="AP107" s="468">
        <f>IF(C90=$AH$1,BB30,IF(C90=$AH$2,BB64,IF(C90=$AH$3,BB95,IF(C90=$AH$4,BB126,IF(C90=$AH$5,BB157,IF(C90=$AH$6,BB188,0))))))</f>
        <v>0</v>
      </c>
      <c r="AQ107" s="468"/>
      <c r="AR107" s="29"/>
      <c r="AS107" s="29">
        <v>9</v>
      </c>
      <c r="AT107" s="234" t="s">
        <v>833</v>
      </c>
      <c r="AU107" s="234" t="s">
        <v>475</v>
      </c>
      <c r="AV107" s="234" t="s">
        <v>654</v>
      </c>
      <c r="AW107" s="234">
        <v>20</v>
      </c>
      <c r="AX107" s="234">
        <v>4</v>
      </c>
      <c r="AY107" s="234">
        <v>16</v>
      </c>
      <c r="AZ107" s="389" t="s">
        <v>908</v>
      </c>
      <c r="BA107" s="234">
        <v>1</v>
      </c>
      <c r="BB107" s="234">
        <v>0</v>
      </c>
      <c r="BC107" s="234">
        <v>1</v>
      </c>
      <c r="BD107" s="234">
        <v>25</v>
      </c>
      <c r="BE107" s="375">
        <f t="shared" si="107"/>
        <v>11</v>
      </c>
      <c r="BF107" s="234">
        <v>15</v>
      </c>
      <c r="BG107" s="233"/>
      <c r="BH107" s="233"/>
      <c r="BI107" s="408"/>
      <c r="BJ107" s="409"/>
      <c r="BK107" s="408"/>
      <c r="BL107" s="408"/>
      <c r="BM107" s="408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9"/>
      <c r="DF107" s="29" t="s">
        <v>991</v>
      </c>
      <c r="DG107" s="29"/>
      <c r="DH107" s="29"/>
      <c r="DI107" s="252">
        <v>8</v>
      </c>
      <c r="DJ107" s="252">
        <v>12</v>
      </c>
      <c r="DK107" s="252" t="s">
        <v>908</v>
      </c>
      <c r="DL107" s="252">
        <v>1</v>
      </c>
      <c r="DM107" s="252">
        <v>0</v>
      </c>
      <c r="DN107" s="252" t="s">
        <v>1006</v>
      </c>
      <c r="DO107" s="252">
        <v>30</v>
      </c>
      <c r="DP107" s="252">
        <v>10</v>
      </c>
      <c r="DQ107" s="252">
        <v>15</v>
      </c>
      <c r="DR107" s="29"/>
      <c r="DS107" s="29"/>
      <c r="DT107" s="29"/>
      <c r="DU107" s="29"/>
      <c r="DV107" s="29"/>
      <c r="DW107" s="29"/>
      <c r="DX107" s="282" t="s">
        <v>1330</v>
      </c>
      <c r="DY107" s="315" t="s">
        <v>1329</v>
      </c>
      <c r="DZ107" s="315" t="s">
        <v>1292</v>
      </c>
      <c r="EA107" s="29"/>
      <c r="EB107" s="428"/>
      <c r="EC107" s="428"/>
      <c r="ED107" s="428"/>
      <c r="EE107" s="428"/>
      <c r="EF107" s="428"/>
      <c r="EG107" s="428"/>
      <c r="EH107" s="428"/>
      <c r="EI107" s="428"/>
      <c r="EJ107" s="428"/>
      <c r="EK107" s="428"/>
      <c r="EL107" s="428"/>
      <c r="EM107" s="428"/>
      <c r="EN107" s="29"/>
      <c r="EO107" s="29"/>
      <c r="EP107" s="29"/>
      <c r="EQ107" s="29"/>
      <c r="ER107" s="29"/>
      <c r="ES107" s="29"/>
      <c r="ET107" s="29"/>
      <c r="EU107" s="29"/>
      <c r="EV107" s="30"/>
      <c r="EW107" s="30"/>
      <c r="EX107" s="30"/>
      <c r="EY107" s="30"/>
      <c r="EZ107" s="30"/>
      <c r="FA107" s="30"/>
      <c r="FB107" s="30"/>
      <c r="FC107" s="30"/>
      <c r="FD107" s="30"/>
      <c r="FE107" s="30"/>
      <c r="FF107" s="30"/>
      <c r="FG107" s="30"/>
      <c r="FH107" s="30"/>
      <c r="FI107" s="30"/>
      <c r="FJ107" s="30"/>
      <c r="FK107" s="30"/>
      <c r="FL107" s="30"/>
    </row>
    <row r="108" spans="1:168" ht="15.95" customHeight="1" x14ac:dyDescent="0.25">
      <c r="A108" s="532" t="s">
        <v>428</v>
      </c>
      <c r="B108" s="532"/>
      <c r="C108" s="532"/>
      <c r="D108" s="142" t="str">
        <f>IF(D104=" "," ",IF(W107="Single Shot","N/A",D104+F104+H104+J104+W109))</f>
        <v xml:space="preserve"> </v>
      </c>
      <c r="E108" s="30"/>
      <c r="F108" s="532" t="s">
        <v>432</v>
      </c>
      <c r="G108" s="532"/>
      <c r="H108" s="532"/>
      <c r="I108" s="532"/>
      <c r="J108" s="532"/>
      <c r="K108" s="533"/>
      <c r="L108" s="198" t="str">
        <f>IF(D104=" "," ",IF(OR(W107="Burst",W107="Single Shot",W107="Semi-Automatic"),"N/A",D104+F104+H104+J104+W109*3))</f>
        <v xml:space="preserve"> </v>
      </c>
      <c r="M108" s="30"/>
      <c r="N108" s="30"/>
      <c r="O108" s="29"/>
      <c r="P108" s="525"/>
      <c r="Q108" s="525"/>
      <c r="R108" s="525"/>
      <c r="S108" s="525"/>
      <c r="T108" s="525"/>
      <c r="U108" s="29"/>
      <c r="V108" s="141" t="s">
        <v>421</v>
      </c>
      <c r="W108" s="468">
        <f>IF($C$102=$DF$100,DL100,IF($C$102=$DF$101,DL101,IF($C$102=$DF$102,DL102,IF($C$102=$DF$103,DL103,IF($C$102=$DF$104,DL104,IF($C$102=$DF$105,DL105,IF($C$102=$DF$106,DL106,IF($C$102=$DF$107,DL107,IF($C$102=$DF$108,DL108,IF($C$102=$DF$109,DL109,IF($C$102=$DF$110,DL110,IF($C$102=$DF$111,DL111,IF($C$102=$DF$112,DL112,0)))))))))))))</f>
        <v>0</v>
      </c>
      <c r="X108" s="468"/>
      <c r="Y108" s="30"/>
      <c r="Z108" s="30"/>
      <c r="AA108" s="31"/>
      <c r="AB108" s="471"/>
      <c r="AC108" s="471"/>
      <c r="AD108" s="471"/>
      <c r="AE108" s="471"/>
      <c r="AF108" s="471"/>
      <c r="AG108" s="29"/>
      <c r="AH108" s="29"/>
      <c r="AI108" s="29"/>
      <c r="AJ108" s="29"/>
      <c r="AK108" s="29"/>
      <c r="AL108" s="29"/>
      <c r="AM108" s="29"/>
      <c r="AN108" s="29"/>
      <c r="AO108" s="391" t="s">
        <v>191</v>
      </c>
      <c r="AP108" s="468">
        <f>ROUND((IF(C90=$AH$1,BC30,IF(C90=$AH$2,BC64,IF(C90=$AH$3,BC95,IF(C90=$AH$4,BC126,IF(C90=$AH$5,BC157,IF(C90=$AH$6,BC188,0))))))+IF(BJ52="Ammo +5",5,0)+IF(BK52="Ammo +5",5,0)+IF(BL52="Ammo +5",5,0)+IF(BM52="Ammo +5",5,0)+IF(BJ52="Ammo +6",6,0)+IF(BK52="Ammo +6",6,0)+IF(BL52="Ammo +6",6,0)+IF(BM52="Ammo +6",6,0))*(1+IF(N90=CS25,0.1,0)+IF(S90=CS25,0.1,0)+IF(W90=CS25,0.1,0)+IF(N90=CS26,0.2,0)+IF(S90=CS26,0.2,0)+IF(W90=CS26,0.2,0)+IF(N90=CS27,0.3,0)+IF(S90=CS27,0.3,0)+IF(W90=CS27,0.3,0)+IF(N90=CS28,0.4,0)+IF(S90=CS28,0.4,0)+IF(W90=CS28,0.4,0)+IF(N90=CS29,0.5,0)+IF(S90=CS29,0.5,0)+IF(W90=CS29,0.5,0)+IF(AB27=DS51,0.2,0)),0)</f>
        <v>0</v>
      </c>
      <c r="AQ108" s="468"/>
      <c r="AR108" s="29"/>
      <c r="AS108" s="29">
        <v>10</v>
      </c>
      <c r="AT108" s="234" t="s">
        <v>834</v>
      </c>
      <c r="AU108" s="234" t="s">
        <v>835</v>
      </c>
      <c r="AV108" s="234" t="s">
        <v>510</v>
      </c>
      <c r="AW108" s="234">
        <v>20</v>
      </c>
      <c r="AX108" s="234">
        <v>3</v>
      </c>
      <c r="AY108" s="234">
        <v>14</v>
      </c>
      <c r="AZ108" s="234" t="s">
        <v>1551</v>
      </c>
      <c r="BA108" s="234">
        <v>2</v>
      </c>
      <c r="BB108" s="234">
        <v>-4</v>
      </c>
      <c r="BC108" s="234">
        <v>4</v>
      </c>
      <c r="BD108" s="234">
        <v>40</v>
      </c>
      <c r="BE108" s="375">
        <f t="shared" si="107"/>
        <v>9</v>
      </c>
      <c r="BF108" s="234">
        <v>12</v>
      </c>
      <c r="BG108" s="233"/>
      <c r="BH108" s="233"/>
      <c r="BI108" s="408"/>
      <c r="BJ108" s="409"/>
      <c r="BK108" s="408"/>
      <c r="BL108" s="408"/>
      <c r="BM108" s="408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9"/>
      <c r="DF108" s="29" t="s">
        <v>994</v>
      </c>
      <c r="DG108" s="29"/>
      <c r="DH108" s="29"/>
      <c r="DI108" s="252">
        <v>6</v>
      </c>
      <c r="DJ108" s="252">
        <v>13</v>
      </c>
      <c r="DK108" s="252" t="s">
        <v>909</v>
      </c>
      <c r="DL108" s="252">
        <v>10</v>
      </c>
      <c r="DM108" s="252">
        <v>0</v>
      </c>
      <c r="DN108" s="252" t="s">
        <v>541</v>
      </c>
      <c r="DO108" s="252">
        <v>60</v>
      </c>
      <c r="DP108" s="252">
        <v>0.2</v>
      </c>
      <c r="DQ108" s="252">
        <v>18</v>
      </c>
      <c r="DR108" s="29"/>
      <c r="DS108" s="29"/>
      <c r="DT108" s="29"/>
      <c r="DU108" s="29"/>
      <c r="DV108" s="29"/>
      <c r="DW108" s="29"/>
      <c r="DX108" s="278" t="s">
        <v>1331</v>
      </c>
      <c r="DY108" s="314"/>
      <c r="DZ108" s="314" t="s">
        <v>1293</v>
      </c>
      <c r="EA108" s="29"/>
      <c r="EB108" s="428"/>
      <c r="EC108" s="428"/>
      <c r="ED108" s="428"/>
      <c r="EE108" s="428"/>
      <c r="EF108" s="428"/>
      <c r="EG108" s="428"/>
      <c r="EH108" s="428"/>
      <c r="EI108" s="428"/>
      <c r="EJ108" s="428"/>
      <c r="EK108" s="428"/>
      <c r="EL108" s="428"/>
      <c r="EM108" s="428"/>
      <c r="EN108" s="29"/>
      <c r="EO108" s="29"/>
      <c r="EP108" s="29"/>
      <c r="EQ108" s="29"/>
      <c r="ER108" s="29"/>
      <c r="ES108" s="29"/>
      <c r="ET108" s="29"/>
      <c r="EU108" s="29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  <c r="FH108" s="30"/>
      <c r="FI108" s="30"/>
      <c r="FJ108" s="30"/>
      <c r="FK108" s="30"/>
      <c r="FL108" s="30"/>
    </row>
    <row r="109" spans="1:168" ht="15.95" customHeight="1" x14ac:dyDescent="0.25">
      <c r="A109" s="532" t="s">
        <v>429</v>
      </c>
      <c r="B109" s="532"/>
      <c r="C109" s="532"/>
      <c r="D109" s="142" t="str">
        <f>IF(D104=" "," ",IF(W107="Single Shot","N/A",D104+F104+H104+J104+W109*2))</f>
        <v xml:space="preserve"> </v>
      </c>
      <c r="E109" s="30"/>
      <c r="F109" s="30"/>
      <c r="G109" s="30"/>
      <c r="H109" s="30"/>
      <c r="I109" s="30"/>
      <c r="J109" s="30"/>
      <c r="K109" s="528" t="s">
        <v>433</v>
      </c>
      <c r="L109" s="528"/>
      <c r="M109" s="528"/>
      <c r="N109" s="30"/>
      <c r="O109" s="29"/>
      <c r="P109" s="544" t="s">
        <v>86</v>
      </c>
      <c r="Q109" s="544"/>
      <c r="R109" s="544"/>
      <c r="S109" s="544"/>
      <c r="T109" s="544"/>
      <c r="U109" s="29"/>
      <c r="V109" s="246" t="s">
        <v>190</v>
      </c>
      <c r="W109" s="468">
        <f>IF($C$102=$DF$100,DM100,IF($C$102=$DF$101,DM101,IF($C$102=$DF$102,DM102,IF($C$102=$DF$103,DM103,IF($C$102=$DF$104,DM104,IF($C$102=$DF$105,DM105,IF($C$102=$DF$106,DM106,IF($C$102=$DF$107,DM107,IF($C$102=$DF$108,DM108,IF($C$102=$DF$109,DM109,IF($C$102=$DF$110,DM110,IF($C$102=$DF$111,DM111,IF($C$102=$DF$112,DM112,0)))))))))))))</f>
        <v>0</v>
      </c>
      <c r="X109" s="468"/>
      <c r="Y109" s="30"/>
      <c r="Z109" s="30"/>
      <c r="AA109" s="31"/>
      <c r="AB109" s="471"/>
      <c r="AC109" s="471"/>
      <c r="AD109" s="471"/>
      <c r="AE109" s="471"/>
      <c r="AF109" s="471"/>
      <c r="AG109" s="29"/>
      <c r="AH109" s="29"/>
      <c r="AI109" s="29"/>
      <c r="AJ109" s="29"/>
      <c r="AK109" s="29"/>
      <c r="AL109" s="29"/>
      <c r="AM109" s="29" t="s">
        <v>1566</v>
      </c>
      <c r="AN109" s="29"/>
      <c r="AO109" s="391" t="s">
        <v>583</v>
      </c>
      <c r="AP109" s="468">
        <f>MROUND((IF(C90=$AH$1,BD30,IF(C90=$AH$2,BD64,IF(C90=$AH$3,BD95,IF(C90=$AH$4,BD126,IF(C90=$AH$5,BD157,IF(C90=$AH$6,BD188,0))))))+IF(BJ52="Range +10",10,0)+IF(BK52="Range +10",10,0)+IF(BL52="Range +10",10,0)+IF(BM52="Range +10",10,0)+IF(BJ52="Range +5",5,0)+IF(BK52="Range +5",5,0)+IF(BL52="Range +5",5,0)+IF(BM52="Range +5",5,0))*(1+IF(N90=CS21,0.5,0)+IF(S90=CS21,0.5,0)+IF(W90=CS21,0.5,0)+IF(N90=DA8,0.1,0)+IF(S90=DA8,0.1,0)+IF(W90=DA8,0.1,0)+IF(N90=DA9,0.2,0)+IF(S90=DA9,0.2,0)+IF(W90=DA9,0.2,0)+IF(N90=DA10,0.3,0)+IF(S90=DA10,0.3,0)+IF(W90=DA10,0.3,0)+IF(N90=DA11,0.4,0)+IF(S90=DA11,0.4,0)+IF(W90=DA11,0.4,0)+IF(N90=DA12,0.5,0)+IF(S90=DA12,0.5,0)+IF(W90=DA12,0.5,0)+IF(N90=CV20,0.25,0)+IF(S90=CV20,0.25,0)+IF(W90=CV20,0.25,0)),5)</f>
        <v>0</v>
      </c>
      <c r="AQ109" s="468"/>
      <c r="AR109" s="29"/>
      <c r="AS109" s="29">
        <v>11</v>
      </c>
      <c r="AT109" s="234" t="s">
        <v>836</v>
      </c>
      <c r="AU109" s="234" t="s">
        <v>819</v>
      </c>
      <c r="AV109" s="234" t="s">
        <v>475</v>
      </c>
      <c r="AW109" s="234">
        <v>20</v>
      </c>
      <c r="AX109" s="234">
        <v>3</v>
      </c>
      <c r="AY109" s="234">
        <v>15</v>
      </c>
      <c r="AZ109" s="234" t="s">
        <v>909</v>
      </c>
      <c r="BA109" s="234">
        <v>2</v>
      </c>
      <c r="BB109" s="234">
        <v>-4</v>
      </c>
      <c r="BC109" s="234">
        <v>8</v>
      </c>
      <c r="BD109" s="234">
        <v>20</v>
      </c>
      <c r="BE109" s="375">
        <f t="shared" si="107"/>
        <v>11</v>
      </c>
      <c r="BF109" s="234">
        <v>15</v>
      </c>
      <c r="BG109" s="233"/>
      <c r="BH109" s="233"/>
      <c r="BI109" s="408"/>
      <c r="BJ109" s="409"/>
      <c r="BK109" s="408"/>
      <c r="BL109" s="408"/>
      <c r="BM109" s="408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9"/>
      <c r="DF109" s="29" t="s">
        <v>995</v>
      </c>
      <c r="DG109" s="29"/>
      <c r="DH109" s="29"/>
      <c r="DI109" s="252">
        <v>8</v>
      </c>
      <c r="DJ109" s="252">
        <v>17</v>
      </c>
      <c r="DK109" s="252" t="s">
        <v>909</v>
      </c>
      <c r="DL109" s="252">
        <v>10</v>
      </c>
      <c r="DM109" s="252">
        <v>-3</v>
      </c>
      <c r="DN109" s="252" t="s">
        <v>796</v>
      </c>
      <c r="DO109" s="252">
        <v>60</v>
      </c>
      <c r="DP109" s="252">
        <v>0.5</v>
      </c>
      <c r="DQ109" s="252">
        <v>27</v>
      </c>
      <c r="DR109" s="29"/>
      <c r="DS109" s="29"/>
      <c r="DT109" s="29"/>
      <c r="DU109" s="29"/>
      <c r="DV109" s="29"/>
      <c r="DW109" s="29"/>
      <c r="DX109" s="282" t="s">
        <v>1332</v>
      </c>
      <c r="DY109" s="315" t="s">
        <v>1330</v>
      </c>
      <c r="DZ109" s="315" t="s">
        <v>1294</v>
      </c>
      <c r="EA109" s="29"/>
      <c r="EB109" s="428"/>
      <c r="EC109" s="428"/>
      <c r="ED109" s="428"/>
      <c r="EE109" s="428"/>
      <c r="EF109" s="428"/>
      <c r="EG109" s="428"/>
      <c r="EH109" s="428"/>
      <c r="EI109" s="428"/>
      <c r="EJ109" s="428"/>
      <c r="EK109" s="428"/>
      <c r="EL109" s="428"/>
      <c r="EM109" s="428"/>
      <c r="EN109" s="29"/>
      <c r="EO109" s="29"/>
      <c r="EP109" s="29"/>
      <c r="EQ109" s="29"/>
      <c r="ER109" s="29"/>
      <c r="ES109" s="29"/>
      <c r="ET109" s="29"/>
      <c r="EU109" s="29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  <c r="FH109" s="30"/>
      <c r="FI109" s="30"/>
      <c r="FJ109" s="30"/>
      <c r="FK109" s="30"/>
      <c r="FL109" s="30"/>
    </row>
    <row r="110" spans="1:168" ht="15.95" customHeight="1" x14ac:dyDescent="0.25">
      <c r="A110" s="30"/>
      <c r="B110" s="30"/>
      <c r="C110" s="528" t="s">
        <v>433</v>
      </c>
      <c r="D110" s="528"/>
      <c r="E110" s="528"/>
      <c r="F110" s="30"/>
      <c r="G110" s="30"/>
      <c r="H110" s="30"/>
      <c r="I110" s="30"/>
      <c r="J110" s="30"/>
      <c r="K110" s="30"/>
      <c r="L110" s="30"/>
      <c r="M110" s="30"/>
      <c r="N110" s="30"/>
      <c r="O110" s="29"/>
      <c r="P110" s="525"/>
      <c r="Q110" s="525"/>
      <c r="R110" s="525"/>
      <c r="S110" s="525"/>
      <c r="T110" s="525"/>
      <c r="U110" s="29"/>
      <c r="V110" s="246" t="s">
        <v>583</v>
      </c>
      <c r="W110" s="468">
        <f>IF($C$102=$DF$100,DO100,IF($C$102=$DF$101,DO101,IF($C$102=$DF$102,DO102,IF($C$102=$DF$103,DO103,IF($C$102=$DF$104,DO104,IF($C$102=$DF$105,DO105,IF($C$102=$DF$106,DO106,IF($C$102=$DF$107,DO107,IF($C$102=$DF$108,DO108,IF($C$102=$DF$109,DO109,IF($C$102=$DF$110,DO110,IF($C$102=$DF$111,DO111,IF($C$102=$DF$112,DO112,0)))))))))))))</f>
        <v>0</v>
      </c>
      <c r="X110" s="468"/>
      <c r="Y110" s="30"/>
      <c r="Z110" s="30"/>
      <c r="AA110" s="31"/>
      <c r="AB110" s="471"/>
      <c r="AC110" s="471"/>
      <c r="AD110" s="471"/>
      <c r="AE110" s="471"/>
      <c r="AF110" s="471"/>
      <c r="AG110" s="29"/>
      <c r="AH110" s="29"/>
      <c r="AI110" s="29"/>
      <c r="AJ110" s="29"/>
      <c r="AK110" s="29"/>
      <c r="AL110" s="29">
        <v>1</v>
      </c>
      <c r="AM110" s="376" t="str">
        <f t="shared" ref="AM110:AM119" si="108">IF($C$90=$AH$1,AT3,IF($C$90=$AH$2,AT34,IF($C$90=$AH$3,AT68,IF($C$90=$AH$4,AT99,IF($C$90=$AH$5,AT130,IF($C$90=$AH$6,AT161,IF($C$90=$AH$7,"Ranged Touch"," ")))))))</f>
        <v xml:space="preserve"> </v>
      </c>
      <c r="AN110" s="29"/>
      <c r="AO110" s="391" t="s">
        <v>771</v>
      </c>
      <c r="AP110" s="469">
        <f>(IF($B$2=$AI$28,IF(C90=$AH$1,BE30,IF(C90=$AH$2,BE64,IF(C90=$AH$3,BE95,IF(C90=$AH$4,BE126,IF(C90=$AH$5,BE157,IF(C90=$AH$6,BE188,0)))))),IF(C90=$AH$1,BF30,IF(C90=$AH$2,BF64,IF(C90=$AH$3,BF95,IF(C90=$AH$4,BF126,IF(C90=$AH$5,BF157,IF(C90=$AH$6,BF188,0))))))))*(1-IF(L90=$CB$5,0.05,IF(L90=$CC$5,0.1,IF(L90=$CD$5,0.15,IF(L90=$CE$5,0.2,IF(L90=$CF$5,0.25,0)))))+IF(OR(N90=CY13,N90=CY14,N90=CY15,N90=CY16,N90=CY17),0.25,0)+IF(OR(S90=CY13,S90=CY14,S90=CY15,S90=CY16,S90=CY17),0.25,0)+IF(OR(W90=CY13,W90=CY14,W90=CY15,W90=CY16,W90=CY17),0.25,0)-IF(N90=CS41,0.1,0)-IF(S90=CS41,0.1,0)-IF(W90=CS41,0.1,0)-IF(N90=CS42,0.2,0)-IF(S90=CS42,0.2,0)-IF(W90=CS42,0.2,0)-IF(N90=CS43,0.3,0)-IF(S90=CS43,0.3,0)-IF(W90=CS43,0.3,0)-IF(N90=CS44,0.4,0)-IF(S90=CS44,0.4,0)-IF(W90=CS44,0.4,0)-IF(N90=CS45,0.5,0)-IF(S90=CS45,0.5,0)-IF(W90=CS45,0.5,0))</f>
        <v>0</v>
      </c>
      <c r="AQ110" s="470"/>
      <c r="AR110" s="29"/>
      <c r="AS110" s="29">
        <v>12</v>
      </c>
      <c r="AT110" s="234" t="s">
        <v>837</v>
      </c>
      <c r="AU110" s="234" t="s">
        <v>540</v>
      </c>
      <c r="AV110" s="234" t="s">
        <v>541</v>
      </c>
      <c r="AW110" s="234">
        <v>20</v>
      </c>
      <c r="AX110" s="234">
        <v>2</v>
      </c>
      <c r="AY110" s="234">
        <v>14</v>
      </c>
      <c r="AZ110" s="234" t="s">
        <v>909</v>
      </c>
      <c r="BA110" s="234">
        <v>5</v>
      </c>
      <c r="BB110" s="234">
        <v>0</v>
      </c>
      <c r="BC110" s="234">
        <v>22</v>
      </c>
      <c r="BD110" s="234">
        <v>30</v>
      </c>
      <c r="BE110" s="375">
        <f t="shared" si="107"/>
        <v>7.5</v>
      </c>
      <c r="BF110" s="234">
        <v>10</v>
      </c>
      <c r="BG110" s="233"/>
      <c r="BH110" s="233"/>
      <c r="BI110" s="408"/>
      <c r="BJ110" s="409"/>
      <c r="BK110" s="408"/>
      <c r="BL110" s="408"/>
      <c r="BM110" s="408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9"/>
      <c r="DF110" s="29" t="s">
        <v>996</v>
      </c>
      <c r="DG110" s="29"/>
      <c r="DH110" s="29"/>
      <c r="DI110" s="252">
        <v>12</v>
      </c>
      <c r="DJ110" s="252">
        <v>0</v>
      </c>
      <c r="DK110" s="252" t="s">
        <v>908</v>
      </c>
      <c r="DL110" s="252">
        <v>1</v>
      </c>
      <c r="DM110" s="252">
        <v>0</v>
      </c>
      <c r="DN110" s="252" t="s">
        <v>1007</v>
      </c>
      <c r="DO110" s="252">
        <v>60</v>
      </c>
      <c r="DP110" s="252">
        <v>100</v>
      </c>
      <c r="DQ110" s="252">
        <v>30</v>
      </c>
      <c r="DR110" s="29"/>
      <c r="DS110" s="29"/>
      <c r="DT110" s="29"/>
      <c r="DU110" s="29"/>
      <c r="DV110" s="29"/>
      <c r="DW110" s="29"/>
      <c r="DX110" s="278" t="s">
        <v>1333</v>
      </c>
      <c r="DY110" s="316" t="s">
        <v>1331</v>
      </c>
      <c r="DZ110" s="316" t="s">
        <v>1295</v>
      </c>
      <c r="EA110" s="29"/>
      <c r="EB110" s="428"/>
      <c r="EC110" s="428"/>
      <c r="ED110" s="428"/>
      <c r="EE110" s="428"/>
      <c r="EF110" s="428"/>
      <c r="EG110" s="428"/>
      <c r="EH110" s="428"/>
      <c r="EI110" s="428"/>
      <c r="EJ110" s="428"/>
      <c r="EK110" s="428"/>
      <c r="EL110" s="428"/>
      <c r="EM110" s="428"/>
      <c r="EN110" s="29"/>
      <c r="EO110" s="29"/>
      <c r="EP110" s="29"/>
      <c r="EQ110" s="29"/>
      <c r="ER110" s="29"/>
      <c r="ES110" s="29"/>
      <c r="ET110" s="29"/>
      <c r="EU110" s="29"/>
      <c r="EV110" s="30"/>
      <c r="EW110" s="30"/>
      <c r="EX110" s="30"/>
      <c r="EY110" s="30"/>
      <c r="EZ110" s="30"/>
      <c r="FA110" s="30"/>
      <c r="FB110" s="30"/>
      <c r="FC110" s="30"/>
      <c r="FD110" s="30"/>
      <c r="FE110" s="30"/>
      <c r="FF110" s="30"/>
      <c r="FG110" s="30"/>
      <c r="FH110" s="30"/>
      <c r="FI110" s="30"/>
      <c r="FJ110" s="30"/>
      <c r="FK110" s="30"/>
      <c r="FL110" s="30"/>
    </row>
    <row r="111" spans="1:168" ht="15.95" customHeight="1" x14ac:dyDescent="0.25">
      <c r="A111" s="501" t="s">
        <v>201</v>
      </c>
      <c r="B111" s="501"/>
      <c r="C111" s="501"/>
      <c r="D111" s="468">
        <f>IF($C$102=$DF$100,DN100,IF($C$102=$DF$101,DN101,IF($C$102=$DF$102,DN102,IF($C$102=$DF$103,DN103,IF($C$102=$DF$104,DN104,IF($C$102=$DF$105,DN105,IF($C$102=$DF$106,DN106,IF($C$102=$DF$107,DN107,IF($C$102=$DF$108,DN108,IF($C$102=$DF$109,DN109,IF($C$102=$DF$110,DN110,IF($C$102=$DF$111,DN111,IF($C$102=$DF$112,DN112,0)))))))))))))</f>
        <v>0</v>
      </c>
      <c r="E111" s="468"/>
      <c r="F111" s="468"/>
      <c r="G111" s="228" t="s">
        <v>7</v>
      </c>
      <c r="H111" s="525"/>
      <c r="I111" s="525"/>
      <c r="J111" s="525"/>
      <c r="K111" s="228" t="s">
        <v>7</v>
      </c>
      <c r="L111" s="543"/>
      <c r="M111" s="543"/>
      <c r="N111" s="543"/>
      <c r="O111" s="29"/>
      <c r="P111" s="544" t="s">
        <v>86</v>
      </c>
      <c r="Q111" s="544"/>
      <c r="R111" s="544"/>
      <c r="S111" s="544"/>
      <c r="T111" s="544"/>
      <c r="U111" s="29"/>
      <c r="V111" s="246" t="s">
        <v>771</v>
      </c>
      <c r="W111" s="468">
        <f>IF($C$102=$DF$100,DQ100,IF($C$102=$DF$101,DQ101,IF($C$102=$DF$102,DQ102,IF($C$102=$DF$103,DQ103,IF($C$102=$DF$104,DQ104,IF($C$102=$DF$105,DQ105,IF($C$102=$DF$106,DQ106,IF($C$102=$DF$107,DQ107,IF($C$102=$DF$108,DQ108,IF($C$102=$DF$109,DQ109,IF($C$102=$DF$110,DQ110,IF($C$102=$DF$111,DQ111,IF($C$102=$DF$112,DQ112,0)))))))))))))</f>
        <v>0</v>
      </c>
      <c r="X111" s="468"/>
      <c r="Y111" s="30"/>
      <c r="Z111" s="30"/>
      <c r="AA111" s="31"/>
      <c r="AB111" s="471"/>
      <c r="AC111" s="471"/>
      <c r="AD111" s="471"/>
      <c r="AE111" s="471"/>
      <c r="AF111" s="471"/>
      <c r="AG111" s="29"/>
      <c r="AH111" s="29"/>
      <c r="AI111" s="29"/>
      <c r="AJ111" s="29"/>
      <c r="AK111" s="29"/>
      <c r="AL111" s="29">
        <v>2</v>
      </c>
      <c r="AM111" s="376" t="str">
        <f t="shared" si="108"/>
        <v xml:space="preserve"> </v>
      </c>
      <c r="AN111" s="29"/>
      <c r="AO111" s="391" t="s">
        <v>467</v>
      </c>
      <c r="AP111" s="469">
        <f>IF($B$2=$AI$28,IF(C90=$AH$1,AU30,IF(C90=$AH$2,AU64,IF(C90=$AH$3,AU95,IF(C90=$AH$4,AU126,IF(C90=$AH$5,AU157,IF(C90=$AH$6,AU188,0)))))),IF(C90=$AH$1,AV30,IF(C90=$AH$2,AV64,IF(C90=$AH$3,AV95,IF(C90=$AH$4,AV126,IF(C90=$AH$5,AV157,IF(C90=$AH$6,AV188,0)))))))</f>
        <v>0</v>
      </c>
      <c r="AQ111" s="470"/>
      <c r="AR111" s="29"/>
      <c r="AS111" s="29">
        <v>13</v>
      </c>
      <c r="AT111" s="234" t="s">
        <v>1206</v>
      </c>
      <c r="AU111" s="234" t="s">
        <v>819</v>
      </c>
      <c r="AV111" s="234" t="s">
        <v>475</v>
      </c>
      <c r="AW111" s="234">
        <v>20</v>
      </c>
      <c r="AX111" s="234">
        <v>3</v>
      </c>
      <c r="AY111" s="234">
        <v>13</v>
      </c>
      <c r="AZ111" s="234" t="s">
        <v>1551</v>
      </c>
      <c r="BA111" s="234">
        <v>1</v>
      </c>
      <c r="BB111" s="234">
        <v>-4</v>
      </c>
      <c r="BC111" s="234">
        <v>4</v>
      </c>
      <c r="BD111" s="234">
        <v>50</v>
      </c>
      <c r="BE111" s="375">
        <f t="shared" si="107"/>
        <v>10</v>
      </c>
      <c r="BF111" s="234">
        <v>13</v>
      </c>
      <c r="BG111" s="233"/>
      <c r="BH111" s="233"/>
      <c r="BI111" s="408"/>
      <c r="BJ111" s="409"/>
      <c r="BK111" s="408"/>
      <c r="BL111" s="408"/>
      <c r="BM111" s="408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9"/>
      <c r="DF111" s="29" t="s">
        <v>997</v>
      </c>
      <c r="DG111" s="29"/>
      <c r="DH111" s="29"/>
      <c r="DI111" s="252">
        <v>5</v>
      </c>
      <c r="DJ111" s="252">
        <v>16</v>
      </c>
      <c r="DK111" s="252" t="s">
        <v>909</v>
      </c>
      <c r="DL111" s="252">
        <v>9</v>
      </c>
      <c r="DM111" s="252">
        <v>-5</v>
      </c>
      <c r="DN111" s="252" t="s">
        <v>719</v>
      </c>
      <c r="DO111" s="252">
        <v>60</v>
      </c>
      <c r="DP111" s="252">
        <v>0.2</v>
      </c>
      <c r="DQ111" s="252">
        <v>27</v>
      </c>
      <c r="DR111" s="29"/>
      <c r="DS111" s="29"/>
      <c r="DT111" s="29"/>
      <c r="DU111" s="29"/>
      <c r="DV111" s="29"/>
      <c r="DW111" s="29"/>
      <c r="DX111" s="282" t="s">
        <v>1334</v>
      </c>
      <c r="DY111" s="315" t="s">
        <v>1332</v>
      </c>
      <c r="DZ111" s="315" t="s">
        <v>1296</v>
      </c>
      <c r="EA111" s="29"/>
      <c r="EB111" s="428"/>
      <c r="EC111" s="428"/>
      <c r="ED111" s="428"/>
      <c r="EE111" s="428"/>
      <c r="EF111" s="428"/>
      <c r="EG111" s="428"/>
      <c r="EH111" s="428"/>
      <c r="EI111" s="428"/>
      <c r="EJ111" s="428"/>
      <c r="EK111" s="428"/>
      <c r="EL111" s="428"/>
      <c r="EM111" s="428"/>
      <c r="EN111" s="29"/>
      <c r="EO111" s="29"/>
      <c r="EP111" s="29"/>
      <c r="EQ111" s="29"/>
      <c r="ER111" s="29"/>
      <c r="ES111" s="29"/>
      <c r="ET111" s="29"/>
      <c r="EU111" s="29"/>
      <c r="EV111" s="30"/>
      <c r="EW111" s="30"/>
      <c r="EX111" s="30"/>
      <c r="EY111" s="30"/>
      <c r="EZ111" s="30"/>
      <c r="FA111" s="30"/>
      <c r="FB111" s="30"/>
      <c r="FC111" s="30"/>
      <c r="FD111" s="30"/>
      <c r="FE111" s="30"/>
      <c r="FF111" s="30"/>
      <c r="FG111" s="30"/>
      <c r="FH111" s="30"/>
      <c r="FI111" s="30"/>
      <c r="FJ111" s="30"/>
      <c r="FK111" s="30"/>
      <c r="FL111" s="30"/>
    </row>
    <row r="112" spans="1:168" ht="15.95" customHeight="1" x14ac:dyDescent="0.25">
      <c r="A112" s="29"/>
      <c r="B112" s="29"/>
      <c r="C112" s="29"/>
      <c r="D112" s="524" t="s">
        <v>2</v>
      </c>
      <c r="E112" s="524"/>
      <c r="F112" s="524"/>
      <c r="G112" s="44"/>
      <c r="H112" s="529" t="s">
        <v>891</v>
      </c>
      <c r="I112" s="529"/>
      <c r="J112" s="529"/>
      <c r="K112" s="529"/>
      <c r="L112" s="529"/>
      <c r="M112" s="529"/>
      <c r="N112" s="529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1"/>
      <c r="AB112" s="471"/>
      <c r="AC112" s="471"/>
      <c r="AD112" s="471"/>
      <c r="AE112" s="471"/>
      <c r="AF112" s="471"/>
      <c r="AG112" s="29"/>
      <c r="AH112" s="29"/>
      <c r="AI112" s="29"/>
      <c r="AJ112" s="29"/>
      <c r="AK112" s="29"/>
      <c r="AL112" s="29">
        <v>3</v>
      </c>
      <c r="AM112" s="376" t="str">
        <f t="shared" si="108"/>
        <v xml:space="preserve"> </v>
      </c>
      <c r="AN112" s="29"/>
      <c r="AO112" s="391" t="s">
        <v>1570</v>
      </c>
      <c r="AP112" s="469" t="str">
        <f>AQ113&amp;"20/×"&amp;AP114</f>
        <v>0-20/×0</v>
      </c>
      <c r="AQ112" s="470"/>
      <c r="AR112" s="29"/>
      <c r="AS112" s="29">
        <v>14</v>
      </c>
      <c r="AT112" s="234" t="s">
        <v>1434</v>
      </c>
      <c r="AU112" s="234"/>
      <c r="AV112" s="234"/>
      <c r="AW112" s="234"/>
      <c r="AX112" s="234"/>
      <c r="AY112" s="234"/>
      <c r="AZ112" s="234"/>
      <c r="BA112" s="234"/>
      <c r="BB112" s="234"/>
      <c r="BC112" s="234"/>
      <c r="BD112" s="234"/>
      <c r="BE112" s="375"/>
      <c r="BF112" s="234"/>
      <c r="BG112" s="233"/>
      <c r="BH112" s="29"/>
      <c r="BI112" s="408"/>
      <c r="BJ112" s="409"/>
      <c r="BK112" s="408"/>
      <c r="BL112" s="408"/>
      <c r="BM112" s="408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9"/>
      <c r="DF112" s="29" t="s">
        <v>998</v>
      </c>
      <c r="DG112" s="29"/>
      <c r="DH112" s="29"/>
      <c r="DI112" s="252">
        <v>5</v>
      </c>
      <c r="DJ112" s="252">
        <v>17</v>
      </c>
      <c r="DK112" s="252" t="s">
        <v>909</v>
      </c>
      <c r="DL112" s="252">
        <v>12</v>
      </c>
      <c r="DM112" s="252">
        <v>-6</v>
      </c>
      <c r="DN112" s="252" t="s">
        <v>797</v>
      </c>
      <c r="DO112" s="252">
        <v>60</v>
      </c>
      <c r="DP112" s="252">
        <v>0.2</v>
      </c>
      <c r="DQ112" s="252">
        <v>45</v>
      </c>
      <c r="DR112" s="29"/>
      <c r="DS112" s="29"/>
      <c r="DT112" s="29"/>
      <c r="DU112" s="29"/>
      <c r="DV112" s="29"/>
      <c r="DW112" s="29"/>
      <c r="DX112" s="282" t="s">
        <v>1335</v>
      </c>
      <c r="DY112" s="316" t="s">
        <v>1333</v>
      </c>
      <c r="DZ112" s="316" t="s">
        <v>1297</v>
      </c>
      <c r="EA112" s="29"/>
      <c r="EB112" s="428"/>
      <c r="EC112" s="428"/>
      <c r="ED112" s="428"/>
      <c r="EE112" s="428"/>
      <c r="EF112" s="428"/>
      <c r="EG112" s="428"/>
      <c r="EH112" s="428"/>
      <c r="EI112" s="428"/>
      <c r="EJ112" s="428"/>
      <c r="EK112" s="428"/>
      <c r="EL112" s="428"/>
      <c r="EM112" s="428"/>
      <c r="EN112" s="29"/>
      <c r="EO112" s="29"/>
      <c r="EP112" s="29"/>
      <c r="EQ112" s="29"/>
      <c r="ER112" s="29"/>
      <c r="ES112" s="29"/>
      <c r="ET112" s="29"/>
      <c r="EU112" s="29"/>
      <c r="EV112" s="30"/>
      <c r="EW112" s="30"/>
      <c r="EX112" s="30"/>
      <c r="EY112" s="30"/>
      <c r="EZ112" s="30"/>
      <c r="FA112" s="30"/>
      <c r="FB112" s="30"/>
      <c r="FC112" s="30"/>
      <c r="FD112" s="30"/>
      <c r="FE112" s="30"/>
      <c r="FF112" s="30"/>
      <c r="FG112" s="30"/>
      <c r="FH112" s="30"/>
      <c r="FI112" s="30"/>
      <c r="FJ112" s="30"/>
      <c r="FK112" s="30"/>
      <c r="FL112" s="30"/>
    </row>
    <row r="113" spans="1:168" ht="15.95" customHeight="1" x14ac:dyDescent="0.25">
      <c r="A113" s="29"/>
      <c r="B113" s="29"/>
      <c r="C113" s="29"/>
      <c r="D113" s="138"/>
      <c r="E113" s="29"/>
      <c r="F113" s="139"/>
      <c r="G113" s="139"/>
      <c r="H113" s="139"/>
      <c r="I113" s="29"/>
      <c r="J113" s="138"/>
      <c r="K113" s="138"/>
      <c r="L113" s="138"/>
      <c r="M113" s="29"/>
      <c r="N113" s="138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1"/>
      <c r="AB113" s="471"/>
      <c r="AC113" s="471"/>
      <c r="AD113" s="471"/>
      <c r="AE113" s="471"/>
      <c r="AF113" s="471"/>
      <c r="AG113" s="29"/>
      <c r="AH113" s="29"/>
      <c r="AI113" s="29"/>
      <c r="AJ113" s="29"/>
      <c r="AK113" s="29"/>
      <c r="AL113" s="29">
        <v>4</v>
      </c>
      <c r="AM113" s="376" t="str">
        <f t="shared" si="108"/>
        <v xml:space="preserve"> </v>
      </c>
      <c r="AN113" s="29"/>
      <c r="AO113" s="29" t="s">
        <v>1571</v>
      </c>
      <c r="AP113" s="388">
        <f>IF(C90=$AH$1,AW30,IF(C90=$AH$2,AW64,IF(C90=$AH$3,AW95,IF(C90=$AH$4,AW126,IF(C90=$AH$5,AW157,IF(C90=$AH$6,AW188,0))))))-IF(BJ52="Threat range +1",1,0)-IF(BK52="Threat range +1",1,0)-IF(BL52="Threat range +1",1,0)-IF(BM52="Threat range +1",1,0)-IF(N90=CS11,1,0)-IF(S90=CS11,1,0)-IF(W90=CS11,1,0)-IF(N90=CS30,1,0)-IF(S90=CS30,1,0)-IF(W90=CS30,1,0)-IF(N90=CV11,1,0)-IF(S90=CV11,1,0)-IF(W90=CV11,1,0)-IF(N90=CY12,1,0)-IF(S90=CY12,1,0)-IF(W90=CY12,1,0)-IF(N90=CY17,1,0)-IF(S90=CY17,1,0)-IF(W90=CY17,1,0)-IF(N90=DA33,1,0)-IF(S90=DA33,1,0)-IF(W90=DA33,1,0)-IF(N90=DC7,1,0)-IF(S90=DC7,1,0)-IF(W90=DC7,1,0)-IF(AB27=DS30,1,0)-IF(AB27=DS59,2,0)-IF(Z34=DW149,1,0)-IF(Z35=DW165,1,0)-IF(AND(C90=AH1,Feats!E46=1),1,0)-IF(AND(C90=AH2,Feats!E47=1),1,0)-IF(AND(C90=AH3,Feats!E48=1),1,0)-IF(AND(C90=AH4,Feats!E49=1),1,0)-IF(AND(C90=AH5,Feats!E50=1),1,0)-IF(AND(C90=AH6,Feats!E51=1),1,0)</f>
        <v>0</v>
      </c>
      <c r="AQ113" s="388" t="str">
        <f>IF(AP113&gt;=20," ",AP113&amp;"-")</f>
        <v>0-</v>
      </c>
      <c r="AR113" s="29"/>
      <c r="AS113" s="29">
        <v>15</v>
      </c>
      <c r="AT113" s="234" t="s">
        <v>1523</v>
      </c>
      <c r="AU113" s="234" t="s">
        <v>655</v>
      </c>
      <c r="AV113" s="234" t="s">
        <v>1553</v>
      </c>
      <c r="AW113" s="234">
        <v>20</v>
      </c>
      <c r="AX113" s="234">
        <v>2</v>
      </c>
      <c r="AY113" s="234">
        <v>13</v>
      </c>
      <c r="AZ113" s="234" t="s">
        <v>1551</v>
      </c>
      <c r="BA113" s="234">
        <v>1</v>
      </c>
      <c r="BB113" s="234">
        <v>-1</v>
      </c>
      <c r="BC113" s="234">
        <v>2</v>
      </c>
      <c r="BD113" s="234">
        <v>15</v>
      </c>
      <c r="BE113" s="375">
        <f t="shared" si="107"/>
        <v>11</v>
      </c>
      <c r="BF113" s="234">
        <v>15</v>
      </c>
      <c r="BG113" s="233"/>
      <c r="BH113" s="29"/>
      <c r="BI113" s="408"/>
      <c r="BJ113" s="409"/>
      <c r="BK113" s="408"/>
      <c r="BL113" s="408"/>
      <c r="BM113" s="408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G113" s="233"/>
      <c r="CH113" s="233"/>
      <c r="CI113" s="233"/>
      <c r="CJ113" s="233"/>
      <c r="CK113" s="233"/>
      <c r="CL113" s="233"/>
      <c r="CM113" s="233"/>
      <c r="CN113" s="233"/>
      <c r="CO113" s="233"/>
      <c r="CP113" s="233"/>
      <c r="CQ113" s="233"/>
      <c r="CR113" s="233"/>
      <c r="CS113" s="233"/>
      <c r="CT113" s="233"/>
      <c r="CU113" s="233"/>
      <c r="CV113" s="233"/>
      <c r="CW113" s="233"/>
      <c r="CX113" s="233"/>
      <c r="CY113" s="233"/>
      <c r="CZ113" s="233"/>
      <c r="DA113" s="233"/>
      <c r="DB113" s="233"/>
      <c r="DC113" s="233"/>
      <c r="DD113" s="233"/>
      <c r="DE113" s="29"/>
      <c r="DF113" s="29"/>
      <c r="DG113" s="29"/>
      <c r="DH113" s="29"/>
      <c r="DI113" s="252"/>
      <c r="DJ113" s="252"/>
      <c r="DK113" s="252"/>
      <c r="DL113" s="252"/>
      <c r="DM113" s="252"/>
      <c r="DN113" s="252"/>
      <c r="DO113" s="252"/>
      <c r="DP113" s="252"/>
      <c r="DQ113" s="252"/>
      <c r="DR113" s="29"/>
      <c r="DS113" s="29"/>
      <c r="DT113" s="29"/>
      <c r="DU113" s="29"/>
      <c r="DV113" s="29"/>
      <c r="DW113" s="29"/>
      <c r="DX113" s="278" t="s">
        <v>1336</v>
      </c>
      <c r="DY113" s="315" t="s">
        <v>1334</v>
      </c>
      <c r="DZ113" s="315" t="s">
        <v>1298</v>
      </c>
      <c r="EA113" s="29"/>
      <c r="EB113" s="428"/>
      <c r="EC113" s="428"/>
      <c r="ED113" s="428"/>
      <c r="EE113" s="428"/>
      <c r="EF113" s="428"/>
      <c r="EG113" s="428"/>
      <c r="EH113" s="428"/>
      <c r="EI113" s="428"/>
      <c r="EJ113" s="428"/>
      <c r="EK113" s="428"/>
      <c r="EL113" s="428"/>
      <c r="EM113" s="428"/>
      <c r="EN113" s="29"/>
      <c r="EO113" s="29"/>
      <c r="EP113" s="29"/>
      <c r="EQ113" s="29"/>
      <c r="ER113" s="29"/>
      <c r="ES113" s="29"/>
      <c r="ET113" s="29"/>
      <c r="EU113" s="29"/>
      <c r="EV113" s="30"/>
      <c r="EW113" s="30"/>
      <c r="EX113" s="30"/>
      <c r="EY113" s="30"/>
      <c r="EZ113" s="30"/>
      <c r="FA113" s="30"/>
      <c r="FB113" s="30"/>
      <c r="FC113" s="30"/>
      <c r="FD113" s="30"/>
      <c r="FE113" s="30"/>
      <c r="FF113" s="30"/>
      <c r="FG113" s="30"/>
      <c r="FH113" s="30"/>
      <c r="FI113" s="30"/>
      <c r="FJ113" s="30"/>
      <c r="FK113" s="30"/>
      <c r="FL113" s="30"/>
    </row>
    <row r="114" spans="1:168" ht="15.95" customHeight="1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552" t="s">
        <v>87</v>
      </c>
      <c r="S114" s="552"/>
      <c r="T114" s="552"/>
      <c r="U114" s="552"/>
      <c r="V114" s="552"/>
      <c r="W114" s="552"/>
      <c r="X114" s="552"/>
      <c r="Y114" s="31"/>
      <c r="Z114" s="31"/>
      <c r="AA114" s="31"/>
      <c r="AB114" s="471"/>
      <c r="AC114" s="471"/>
      <c r="AD114" s="471"/>
      <c r="AE114" s="471"/>
      <c r="AF114" s="471"/>
      <c r="AG114" s="29"/>
      <c r="AH114" s="29"/>
      <c r="AI114" s="29"/>
      <c r="AJ114" s="29"/>
      <c r="AK114" s="29"/>
      <c r="AL114" s="29">
        <v>5</v>
      </c>
      <c r="AM114" s="376" t="str">
        <f t="shared" si="108"/>
        <v xml:space="preserve"> </v>
      </c>
      <c r="AN114" s="29"/>
      <c r="AO114" s="29" t="s">
        <v>1572</v>
      </c>
      <c r="AP114" s="388">
        <f>IF(C90=$AH$1,AX30,IF(C90=$AH$2,AX64,IF(C90=$AH$3,AX95,IF(C90=$AH$4,AX126,IF(C90=$AH$5,AX157,IF(C90=$AH$6,AX188,0))))))+IF(BJ52="Multiplier +1",1,0)+IF(BK52="Multiplier +1",1,0)+IF(BL52="Multiplier +1",1,0)+IF(BM52="Multiplier +1",1,0)+IF(N90=CS22,1,0)+IF(S90=CS22,1,0)+IF(W90=CS22,1,0)+IF(AB27=DS50,1,0)+IF(AND(C90="Melee",AB27=DS69),1,0)</f>
        <v>0</v>
      </c>
      <c r="AQ114" s="36"/>
      <c r="AR114" s="29"/>
      <c r="AS114" s="29">
        <v>16</v>
      </c>
      <c r="AT114" s="234" t="s">
        <v>1524</v>
      </c>
      <c r="AU114" s="234" t="s">
        <v>719</v>
      </c>
      <c r="AV114" s="234" t="s">
        <v>796</v>
      </c>
      <c r="AW114" s="234">
        <v>20</v>
      </c>
      <c r="AX114" s="234">
        <v>3</v>
      </c>
      <c r="AY114" s="234">
        <v>14</v>
      </c>
      <c r="AZ114" s="234" t="s">
        <v>1551</v>
      </c>
      <c r="BA114" s="234">
        <v>3</v>
      </c>
      <c r="BB114" s="234">
        <v>-5</v>
      </c>
      <c r="BC114" s="234">
        <v>10</v>
      </c>
      <c r="BD114" s="234">
        <v>40</v>
      </c>
      <c r="BE114" s="375">
        <f t="shared" si="107"/>
        <v>14</v>
      </c>
      <c r="BF114" s="234">
        <v>20</v>
      </c>
      <c r="BG114" s="233"/>
      <c r="BH114" s="29"/>
      <c r="BI114" s="408"/>
      <c r="BJ114" s="409"/>
      <c r="BK114" s="408"/>
      <c r="BL114" s="408"/>
      <c r="BM114" s="408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3"/>
      <c r="BX114" s="233"/>
      <c r="BY114" s="233"/>
      <c r="BZ114" s="233"/>
      <c r="CG114" s="233"/>
      <c r="CH114" s="233"/>
      <c r="CI114" s="233"/>
      <c r="CJ114" s="233"/>
      <c r="CK114" s="233"/>
      <c r="CL114" s="233"/>
      <c r="CM114" s="233"/>
      <c r="CN114" s="233"/>
      <c r="CO114" s="233"/>
      <c r="CP114" s="233"/>
      <c r="CQ114" s="233"/>
      <c r="CR114" s="233"/>
      <c r="CS114" s="233"/>
      <c r="CT114" s="233"/>
      <c r="CU114" s="233"/>
      <c r="CV114" s="233"/>
      <c r="CW114" s="233"/>
      <c r="CX114" s="233"/>
      <c r="CY114" s="233"/>
      <c r="CZ114" s="233"/>
      <c r="DA114" s="233"/>
      <c r="DB114" s="233"/>
      <c r="DC114" s="233"/>
      <c r="DD114" s="233"/>
      <c r="DE114" s="29"/>
      <c r="DF114" s="29"/>
      <c r="DG114" s="29"/>
      <c r="DH114" s="29"/>
      <c r="DI114" s="252"/>
      <c r="DJ114" s="252"/>
      <c r="DK114" s="252"/>
      <c r="DL114" s="252"/>
      <c r="DM114" s="252"/>
      <c r="DN114" s="252"/>
      <c r="DO114" s="252"/>
      <c r="DP114" s="252"/>
      <c r="DQ114" s="252"/>
      <c r="DR114" s="29"/>
      <c r="DS114" s="29"/>
      <c r="DT114" s="29"/>
      <c r="DU114" s="29"/>
      <c r="DV114" s="29"/>
      <c r="DW114" s="29"/>
      <c r="DX114" s="282" t="s">
        <v>1337</v>
      </c>
      <c r="DY114" s="314"/>
      <c r="DZ114" s="314" t="s">
        <v>1299</v>
      </c>
      <c r="EA114" s="29"/>
      <c r="EB114" s="428"/>
      <c r="EC114" s="428"/>
      <c r="ED114" s="428"/>
      <c r="EE114" s="428"/>
      <c r="EF114" s="428"/>
      <c r="EG114" s="428"/>
      <c r="EH114" s="428"/>
      <c r="EI114" s="428"/>
      <c r="EJ114" s="428"/>
      <c r="EK114" s="428"/>
      <c r="EL114" s="428"/>
      <c r="EM114" s="428"/>
      <c r="EN114" s="29"/>
      <c r="EO114" s="29"/>
      <c r="EP114" s="29"/>
      <c r="EQ114" s="29"/>
      <c r="ER114" s="29"/>
      <c r="ES114" s="29"/>
      <c r="ET114" s="29"/>
      <c r="EU114" s="29"/>
      <c r="EV114" s="30"/>
      <c r="EW114" s="30"/>
      <c r="EX114" s="30"/>
      <c r="EY114" s="30"/>
      <c r="EZ114" s="30"/>
      <c r="FA114" s="30"/>
      <c r="FB114" s="30"/>
      <c r="FC114" s="30"/>
      <c r="FD114" s="30"/>
      <c r="FE114" s="30"/>
      <c r="FF114" s="30"/>
      <c r="FG114" s="30"/>
      <c r="FH114" s="30"/>
      <c r="FI114" s="30"/>
      <c r="FJ114" s="30"/>
      <c r="FK114" s="30"/>
      <c r="FL114" s="30"/>
    </row>
    <row r="115" spans="1:168" ht="15.95" customHeight="1" x14ac:dyDescent="0.25">
      <c r="A115" s="540" t="s">
        <v>75</v>
      </c>
      <c r="B115" s="541"/>
      <c r="C115" s="38"/>
      <c r="D115" s="19">
        <f>F115+H115+J115+L115+N115</f>
        <v>-5</v>
      </c>
      <c r="E115" s="36" t="s">
        <v>6</v>
      </c>
      <c r="F115" s="19">
        <f>D44</f>
        <v>0</v>
      </c>
      <c r="G115" s="36" t="s">
        <v>7</v>
      </c>
      <c r="H115" s="19">
        <f>N6</f>
        <v>-5</v>
      </c>
      <c r="I115" s="36" t="s">
        <v>7</v>
      </c>
      <c r="J115" s="60"/>
      <c r="K115" s="36" t="s">
        <v>7</v>
      </c>
      <c r="L115" s="60"/>
      <c r="M115" s="17" t="s">
        <v>7</v>
      </c>
      <c r="N115" s="19">
        <f>IF(B2="Fine",-16,IF(B2="Diminutive",-12,IF(B2="Tiny", -8,IF(B2="Small",-4,IF(B2="Medium",0,IF(B2="Large",4,IF(B2="Huge",8,IF(B2="Gargantuan",12,IF(B2="Colossal",16,0)))))))))</f>
        <v>0</v>
      </c>
      <c r="O115" s="38"/>
      <c r="P115" s="38"/>
      <c r="Q115" s="29"/>
      <c r="R115" s="41" t="s">
        <v>88</v>
      </c>
      <c r="S115" s="545" t="s">
        <v>169</v>
      </c>
      <c r="T115" s="546"/>
      <c r="U115" s="40"/>
      <c r="V115" s="41" t="s">
        <v>89</v>
      </c>
      <c r="W115" s="515"/>
      <c r="X115" s="515"/>
      <c r="Y115" s="31"/>
      <c r="Z115" s="367"/>
      <c r="AA115" s="31"/>
      <c r="AB115" s="471"/>
      <c r="AC115" s="471"/>
      <c r="AD115" s="471"/>
      <c r="AE115" s="471"/>
      <c r="AF115" s="471"/>
      <c r="AG115" s="29"/>
      <c r="AH115" s="29"/>
      <c r="AI115" s="29"/>
      <c r="AJ115" s="29"/>
      <c r="AK115" s="29"/>
      <c r="AL115" s="29">
        <v>6</v>
      </c>
      <c r="AM115" s="376" t="str">
        <f t="shared" si="108"/>
        <v xml:space="preserve"> </v>
      </c>
      <c r="AN115" s="29"/>
      <c r="AO115" s="29"/>
      <c r="AP115" s="36"/>
      <c r="AQ115" s="36"/>
      <c r="AR115" s="29"/>
      <c r="AS115" s="29">
        <v>17</v>
      </c>
      <c r="AT115" s="234" t="s">
        <v>1522</v>
      </c>
      <c r="AU115" s="234" t="s">
        <v>1554</v>
      </c>
      <c r="AV115" s="234" t="s">
        <v>475</v>
      </c>
      <c r="AW115" s="234">
        <v>20</v>
      </c>
      <c r="AX115" s="234">
        <v>3</v>
      </c>
      <c r="AY115" s="234">
        <v>15</v>
      </c>
      <c r="AZ115" s="234" t="s">
        <v>1551</v>
      </c>
      <c r="BA115" s="234">
        <v>1</v>
      </c>
      <c r="BB115" s="234">
        <v>-3</v>
      </c>
      <c r="BC115" s="234">
        <v>3</v>
      </c>
      <c r="BD115" s="234">
        <v>30</v>
      </c>
      <c r="BE115" s="375">
        <f t="shared" si="107"/>
        <v>14</v>
      </c>
      <c r="BF115" s="234">
        <v>20</v>
      </c>
      <c r="BG115" s="233"/>
      <c r="BH115" s="233"/>
      <c r="BI115" s="408"/>
      <c r="BJ115" s="409"/>
      <c r="BK115" s="408"/>
      <c r="BL115" s="408"/>
      <c r="BM115" s="408"/>
      <c r="BN115" s="233"/>
      <c r="BO115" s="233"/>
      <c r="BP115" s="233"/>
      <c r="BQ115" s="233"/>
      <c r="BR115" s="233"/>
      <c r="BS115" s="233"/>
      <c r="BT115" s="233"/>
      <c r="BU115" s="233"/>
      <c r="BV115" s="233"/>
      <c r="BW115" s="233"/>
      <c r="BX115" s="233"/>
      <c r="BY115" s="233"/>
      <c r="BZ115" s="233"/>
      <c r="CG115" s="233"/>
      <c r="CH115" s="233"/>
      <c r="CI115" s="233"/>
      <c r="CJ115" s="233"/>
      <c r="CK115" s="233"/>
      <c r="CL115" s="233"/>
      <c r="CM115" s="233"/>
      <c r="CN115" s="233"/>
      <c r="CO115" s="233"/>
      <c r="CP115" s="233"/>
      <c r="CQ115" s="233"/>
      <c r="CR115" s="233"/>
      <c r="CS115" s="233"/>
      <c r="CT115" s="233"/>
      <c r="CU115" s="233"/>
      <c r="CV115" s="233"/>
      <c r="CW115" s="233"/>
      <c r="CX115" s="233"/>
      <c r="CY115" s="233"/>
      <c r="CZ115" s="233"/>
      <c r="DA115" s="233"/>
      <c r="DB115" s="233"/>
      <c r="DC115" s="233"/>
      <c r="DD115" s="233"/>
      <c r="DE115" s="29"/>
      <c r="DF115" s="29"/>
      <c r="DG115" s="29"/>
      <c r="DH115" s="29"/>
      <c r="DI115" s="252"/>
      <c r="DJ115" s="252"/>
      <c r="DK115" s="252"/>
      <c r="DL115" s="252"/>
      <c r="DM115" s="252"/>
      <c r="DN115" s="252"/>
      <c r="DO115" s="252"/>
      <c r="DP115" s="252"/>
      <c r="DQ115" s="252"/>
      <c r="DR115" s="29"/>
      <c r="DS115" s="29"/>
      <c r="DT115" s="29"/>
      <c r="DU115" s="29"/>
      <c r="DV115" s="29"/>
      <c r="DW115" s="29"/>
      <c r="DX115" s="282" t="s">
        <v>1338</v>
      </c>
      <c r="DY115" s="315" t="s">
        <v>1335</v>
      </c>
      <c r="DZ115" s="315" t="s">
        <v>1300</v>
      </c>
      <c r="EA115" s="29"/>
      <c r="EB115" s="428"/>
      <c r="EC115" s="428"/>
      <c r="ED115" s="428"/>
      <c r="EE115" s="428"/>
      <c r="EF115" s="428"/>
      <c r="EG115" s="428"/>
      <c r="EH115" s="428"/>
      <c r="EI115" s="428"/>
      <c r="EJ115" s="428"/>
      <c r="EK115" s="428"/>
      <c r="EL115" s="428"/>
      <c r="EM115" s="428"/>
      <c r="EN115" s="29"/>
      <c r="EO115" s="29"/>
      <c r="EP115" s="29"/>
      <c r="EQ115" s="29"/>
      <c r="ER115" s="29"/>
      <c r="ES115" s="29"/>
      <c r="ET115" s="29"/>
      <c r="EU115" s="29"/>
      <c r="EV115" s="30"/>
      <c r="EW115" s="30"/>
      <c r="EX115" s="30"/>
      <c r="EY115" s="30"/>
      <c r="EZ115" s="30"/>
      <c r="FA115" s="30"/>
      <c r="FB115" s="30"/>
      <c r="FC115" s="30"/>
      <c r="FD115" s="30"/>
      <c r="FE115" s="30"/>
      <c r="FF115" s="30"/>
      <c r="FG115" s="30"/>
      <c r="FH115" s="30"/>
      <c r="FI115" s="30"/>
      <c r="FJ115" s="30"/>
      <c r="FK115" s="30"/>
      <c r="FL115" s="30"/>
    </row>
    <row r="116" spans="1:168" ht="15.95" customHeight="1" x14ac:dyDescent="0.25">
      <c r="A116" s="38"/>
      <c r="B116" s="38"/>
      <c r="C116" s="38"/>
      <c r="D116" s="61" t="s">
        <v>1</v>
      </c>
      <c r="E116" s="39"/>
      <c r="F116" s="61" t="s">
        <v>72</v>
      </c>
      <c r="G116" s="39"/>
      <c r="H116" s="61" t="s">
        <v>76</v>
      </c>
      <c r="I116" s="39"/>
      <c r="J116" s="61" t="s">
        <v>73</v>
      </c>
      <c r="K116" s="39"/>
      <c r="L116" s="61" t="s">
        <v>38</v>
      </c>
      <c r="M116" s="39"/>
      <c r="N116" s="61" t="s">
        <v>37</v>
      </c>
      <c r="O116" s="38"/>
      <c r="P116" s="38"/>
      <c r="Q116" s="29"/>
      <c r="R116" s="42"/>
      <c r="S116" s="97"/>
      <c r="T116" s="97"/>
      <c r="U116" s="24"/>
      <c r="V116" s="42"/>
      <c r="W116" s="97"/>
      <c r="X116" s="97"/>
      <c r="Y116" s="31"/>
      <c r="Z116" s="97"/>
      <c r="AA116" s="31"/>
      <c r="AB116" s="471"/>
      <c r="AC116" s="471"/>
      <c r="AD116" s="471"/>
      <c r="AE116" s="471"/>
      <c r="AF116" s="471"/>
      <c r="AG116" s="29"/>
      <c r="AH116" s="29"/>
      <c r="AI116" s="29"/>
      <c r="AJ116" s="29"/>
      <c r="AK116" s="29"/>
      <c r="AL116" s="29">
        <v>7</v>
      </c>
      <c r="AM116" s="376" t="str">
        <f t="shared" si="108"/>
        <v xml:space="preserve"> </v>
      </c>
      <c r="AN116" s="29"/>
      <c r="AO116" s="29"/>
      <c r="AP116" s="36" t="s">
        <v>1568</v>
      </c>
      <c r="AQ116" s="388">
        <f>IF(AND(C90=$AH$1,Feats!$Q$28=1),1,0)+IF(AND(C90=$AH$2,Feats!$Q$29=1),1,0)+IF(AND(C90=$AH$3,Feats!$Q$30=1),1,0)+IF(AND(C90=$AH$4,Feats!$Q$31=1),1,0)+IF(AND(C90=$AH$5,Feats!$Q$32=1),1,0)</f>
        <v>0</v>
      </c>
      <c r="AR116" s="29"/>
      <c r="AS116" s="29">
        <v>18</v>
      </c>
      <c r="AT116" s="234" t="s">
        <v>1525</v>
      </c>
      <c r="AU116" s="234" t="s">
        <v>509</v>
      </c>
      <c r="AV116" s="234" t="s">
        <v>719</v>
      </c>
      <c r="AW116" s="234">
        <v>20</v>
      </c>
      <c r="AX116" s="234">
        <v>2</v>
      </c>
      <c r="AY116" s="234">
        <v>12</v>
      </c>
      <c r="AZ116" s="234" t="s">
        <v>1551</v>
      </c>
      <c r="BA116" s="234">
        <v>2</v>
      </c>
      <c r="BB116" s="234">
        <v>-3</v>
      </c>
      <c r="BC116" s="234">
        <v>10</v>
      </c>
      <c r="BD116" s="234">
        <v>30</v>
      </c>
      <c r="BE116" s="375">
        <f t="shared" si="107"/>
        <v>12</v>
      </c>
      <c r="BF116" s="234">
        <v>17</v>
      </c>
      <c r="BG116" s="233"/>
      <c r="BH116" s="233"/>
      <c r="BI116" s="408"/>
      <c r="BJ116" s="409"/>
      <c r="BK116" s="408"/>
      <c r="BL116" s="408"/>
      <c r="BM116" s="408"/>
      <c r="BN116" s="233"/>
      <c r="BO116" s="233"/>
      <c r="BP116" s="233"/>
      <c r="BQ116" s="233"/>
      <c r="BR116" s="233"/>
      <c r="BS116" s="233"/>
      <c r="BT116" s="233"/>
      <c r="BU116" s="233"/>
      <c r="BV116" s="233"/>
      <c r="BW116" s="233"/>
      <c r="BX116" s="233"/>
      <c r="BY116" s="233"/>
      <c r="BZ116" s="233"/>
      <c r="CG116" s="233"/>
      <c r="CH116" s="233"/>
      <c r="CI116" s="233"/>
      <c r="CJ116" s="233"/>
      <c r="CK116" s="233"/>
      <c r="CL116" s="233"/>
      <c r="CM116" s="233"/>
      <c r="CN116" s="233"/>
      <c r="CO116" s="233"/>
      <c r="CP116" s="233"/>
      <c r="CQ116" s="233"/>
      <c r="CR116" s="233"/>
      <c r="CS116" s="233"/>
      <c r="CT116" s="233"/>
      <c r="CU116" s="233"/>
      <c r="CV116" s="233"/>
      <c r="CW116" s="233"/>
      <c r="CX116" s="233"/>
      <c r="CY116" s="233"/>
      <c r="CZ116" s="233"/>
      <c r="DA116" s="233"/>
      <c r="DB116" s="233"/>
      <c r="DC116" s="233"/>
      <c r="DD116" s="233"/>
      <c r="DE116" s="29"/>
      <c r="DF116" s="29"/>
      <c r="DG116" s="29"/>
      <c r="DH116" s="29"/>
      <c r="DI116" s="252"/>
      <c r="DJ116" s="250"/>
      <c r="DK116" s="251"/>
      <c r="DL116" s="251"/>
      <c r="DM116" s="251"/>
      <c r="DN116" s="251"/>
      <c r="DO116" s="251"/>
      <c r="DP116" s="613"/>
      <c r="DQ116" s="251"/>
      <c r="DR116" s="29"/>
      <c r="DS116" s="29"/>
      <c r="DT116" s="29"/>
      <c r="DU116" s="29"/>
      <c r="DV116" s="29"/>
      <c r="DW116" s="29"/>
      <c r="DX116" s="278" t="s">
        <v>1339</v>
      </c>
      <c r="DY116" s="316" t="s">
        <v>1336</v>
      </c>
      <c r="DZ116" s="316" t="s">
        <v>1301</v>
      </c>
      <c r="EA116" s="29"/>
      <c r="EB116" s="428"/>
      <c r="EC116" s="428"/>
      <c r="ED116" s="428"/>
      <c r="EE116" s="428"/>
      <c r="EF116" s="428"/>
      <c r="EG116" s="428"/>
      <c r="EH116" s="428"/>
      <c r="EI116" s="428"/>
      <c r="EJ116" s="428"/>
      <c r="EK116" s="428"/>
      <c r="EL116" s="428"/>
      <c r="EM116" s="428"/>
      <c r="EN116" s="29"/>
      <c r="EO116" s="29"/>
      <c r="EP116" s="29"/>
      <c r="EQ116" s="29"/>
      <c r="ER116" s="29"/>
      <c r="ES116" s="29"/>
      <c r="ET116" s="29"/>
      <c r="EU116" s="29"/>
      <c r="EV116" s="30"/>
      <c r="EW116" s="30"/>
      <c r="EX116" s="30"/>
      <c r="EY116" s="30"/>
      <c r="EZ116" s="30"/>
      <c r="FA116" s="30"/>
      <c r="FB116" s="30"/>
      <c r="FC116" s="30"/>
      <c r="FD116" s="30"/>
      <c r="FE116" s="30"/>
      <c r="FF116" s="30"/>
      <c r="FG116" s="30"/>
      <c r="FH116" s="30"/>
      <c r="FI116" s="30"/>
      <c r="FJ116" s="30"/>
      <c r="FK116" s="30"/>
      <c r="FL116" s="30"/>
    </row>
    <row r="117" spans="1:168" ht="15.95" customHeight="1" x14ac:dyDescent="0.25">
      <c r="A117" s="540" t="s">
        <v>77</v>
      </c>
      <c r="B117" s="541"/>
      <c r="C117" s="38"/>
      <c r="D117" s="19">
        <f>F117+H117+J117+L117+N117+P117</f>
        <v>0</v>
      </c>
      <c r="E117" s="36" t="s">
        <v>6</v>
      </c>
      <c r="F117" s="60"/>
      <c r="G117" s="36" t="s">
        <v>7</v>
      </c>
      <c r="H117" s="60"/>
      <c r="I117" s="36" t="s">
        <v>7</v>
      </c>
      <c r="J117" s="60"/>
      <c r="K117" s="36" t="s">
        <v>7</v>
      </c>
      <c r="L117" s="60"/>
      <c r="M117" s="17" t="s">
        <v>7</v>
      </c>
      <c r="N117" s="60"/>
      <c r="O117" s="17" t="s">
        <v>7</v>
      </c>
      <c r="P117" s="19">
        <f>IF(B2="Fine",-16,IF(B2="Diminutive",-12,IF(B2="Tiny", -8,IF(B2="Small",-4,IF(B2="Medium",0,IF(B2="Large",4,IF(B2="Huge",8,IF(B2="Gargantuan",12,IF(B2="Colossal",16,0)))))))))</f>
        <v>0</v>
      </c>
      <c r="Q117" s="29"/>
      <c r="R117" s="41" t="s">
        <v>88</v>
      </c>
      <c r="S117" s="515" t="s">
        <v>169</v>
      </c>
      <c r="T117" s="546"/>
      <c r="U117" s="40"/>
      <c r="V117" s="41" t="s">
        <v>89</v>
      </c>
      <c r="W117" s="515"/>
      <c r="X117" s="515"/>
      <c r="Y117" s="367"/>
      <c r="Z117" s="367"/>
      <c r="AA117" s="31"/>
      <c r="AB117" s="471"/>
      <c r="AC117" s="471"/>
      <c r="AD117" s="471"/>
      <c r="AE117" s="471"/>
      <c r="AF117" s="471"/>
      <c r="AG117" s="29"/>
      <c r="AH117" s="29"/>
      <c r="AI117" s="29"/>
      <c r="AJ117" s="29"/>
      <c r="AK117" s="29"/>
      <c r="AL117" s="29">
        <v>8</v>
      </c>
      <c r="AM117" s="376" t="str">
        <f t="shared" si="108"/>
        <v xml:space="preserve"> </v>
      </c>
      <c r="AN117" s="29"/>
      <c r="AO117" s="390" t="s">
        <v>1567</v>
      </c>
      <c r="AP117" s="469">
        <f>IF(AQ116=1,"Yes",0)</f>
        <v>0</v>
      </c>
      <c r="AQ117" s="470"/>
      <c r="AR117" s="29"/>
      <c r="AS117" s="29">
        <v>19</v>
      </c>
      <c r="AT117" s="233" t="s">
        <v>1434</v>
      </c>
      <c r="AU117" s="233"/>
      <c r="AV117" s="233"/>
      <c r="AW117" s="233"/>
      <c r="AX117" s="233"/>
      <c r="AY117" s="233"/>
      <c r="AZ117" s="233"/>
      <c r="BA117" s="233"/>
      <c r="BB117" s="233"/>
      <c r="BC117" s="233"/>
      <c r="BD117" s="233"/>
      <c r="BE117" s="233"/>
      <c r="BF117" s="233"/>
      <c r="BG117" s="233"/>
      <c r="BH117" s="233"/>
      <c r="BI117" s="408"/>
      <c r="BJ117" s="409"/>
      <c r="BK117" s="408"/>
      <c r="BL117" s="408"/>
      <c r="BM117" s="408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9"/>
      <c r="DF117" s="29"/>
      <c r="DG117" s="29"/>
      <c r="DH117" s="29"/>
      <c r="DI117" s="252"/>
      <c r="DJ117" s="251"/>
      <c r="DK117" s="251"/>
      <c r="DL117" s="251"/>
      <c r="DM117" s="251"/>
      <c r="DN117" s="251"/>
      <c r="DO117" s="251"/>
      <c r="DP117" s="613"/>
      <c r="DQ117" s="251"/>
      <c r="DR117" s="29"/>
      <c r="DS117" s="29"/>
      <c r="DT117" s="29"/>
      <c r="DU117" s="29"/>
      <c r="DV117" s="29"/>
      <c r="DW117" s="29"/>
      <c r="DX117" s="278" t="s">
        <v>1340</v>
      </c>
      <c r="DY117" s="315" t="s">
        <v>1337</v>
      </c>
      <c r="DZ117" s="315" t="s">
        <v>1302</v>
      </c>
      <c r="EA117" s="29"/>
      <c r="EB117" s="428"/>
      <c r="EC117" s="428"/>
      <c r="ED117" s="428"/>
      <c r="EE117" s="428"/>
      <c r="EF117" s="428"/>
      <c r="EG117" s="428"/>
      <c r="EH117" s="428"/>
      <c r="EI117" s="428"/>
      <c r="EJ117" s="428"/>
      <c r="EK117" s="428"/>
      <c r="EL117" s="428"/>
      <c r="EM117" s="428"/>
      <c r="EN117" s="29"/>
      <c r="EO117" s="29"/>
      <c r="EP117" s="29"/>
      <c r="EQ117" s="29"/>
      <c r="ER117" s="29"/>
      <c r="ES117" s="29"/>
      <c r="ET117" s="29"/>
      <c r="EU117" s="29"/>
      <c r="EV117" s="30"/>
      <c r="EW117" s="30"/>
      <c r="EX117" s="30"/>
      <c r="EY117" s="30"/>
      <c r="EZ117" s="30"/>
      <c r="FA117" s="30"/>
      <c r="FB117" s="30"/>
      <c r="FC117" s="30"/>
      <c r="FD117" s="30"/>
      <c r="FE117" s="30"/>
      <c r="FF117" s="30"/>
      <c r="FG117" s="30"/>
      <c r="FH117" s="30"/>
      <c r="FI117" s="30"/>
      <c r="FJ117" s="30"/>
      <c r="FK117" s="30"/>
      <c r="FL117" s="30"/>
    </row>
    <row r="118" spans="1:168" ht="15.95" customHeight="1" x14ac:dyDescent="0.25">
      <c r="A118" s="38"/>
      <c r="B118" s="10"/>
      <c r="C118" s="38"/>
      <c r="D118" s="1" t="s">
        <v>1</v>
      </c>
      <c r="E118" s="39"/>
      <c r="F118" s="1" t="s">
        <v>73</v>
      </c>
      <c r="G118" s="39"/>
      <c r="H118" s="1" t="s">
        <v>78</v>
      </c>
      <c r="I118" s="39"/>
      <c r="J118" s="1" t="s">
        <v>79</v>
      </c>
      <c r="K118" s="39"/>
      <c r="L118" s="1" t="s">
        <v>80</v>
      </c>
      <c r="M118" s="39"/>
      <c r="N118" s="61" t="s">
        <v>38</v>
      </c>
      <c r="O118" s="39"/>
      <c r="P118" s="61" t="s">
        <v>37</v>
      </c>
      <c r="Q118" s="29"/>
      <c r="R118" s="42"/>
      <c r="S118" s="97"/>
      <c r="T118" s="97"/>
      <c r="U118" s="24"/>
      <c r="V118" s="42"/>
      <c r="W118" s="97"/>
      <c r="X118" s="97"/>
      <c r="Y118" s="97"/>
      <c r="Z118" s="97"/>
      <c r="AA118" s="31"/>
      <c r="AB118" s="471"/>
      <c r="AC118" s="471"/>
      <c r="AD118" s="471"/>
      <c r="AE118" s="471"/>
      <c r="AF118" s="471"/>
      <c r="AG118" s="29"/>
      <c r="AH118" s="29"/>
      <c r="AI118" s="29"/>
      <c r="AJ118" s="29"/>
      <c r="AK118" s="29"/>
      <c r="AL118" s="29">
        <v>9</v>
      </c>
      <c r="AM118" s="376" t="str">
        <f t="shared" si="108"/>
        <v xml:space="preserve"> </v>
      </c>
      <c r="AN118" s="29"/>
      <c r="AO118" s="390" t="s">
        <v>777</v>
      </c>
      <c r="AP118" s="469">
        <f>IF(BJ52="Recoil penalty -1",1,0)+IF(BK52="Recoil penalty -1",1,0)+IF(BL52="Recoil penalty -1",1,0)+IF(BM52="Recoil penalty -1",1,0)+IF(N90=CS31,-2,0)+IF(S90=CS31,-2,0)+IF(W90=CS31,-2,0)+IF(N90=CV34,1,0)+IF(S90=CV34,1,0)+IF(W90=CV34,1,0)+IF(N90=CV35,2,0)+IF(S90=CV35,2,0)+IF(W90=CV35,2,0)+IF(N90=CV36,3,0)+IF(S90=CV36,3,0)+IF(W90=CV36,3,0)+IF(N90=CY30,1,0)+IF(S90=CY30,1,0)+IF(W90=CY30,1,0)+IF(N90=CY31,2,0)+IF(S90=CY31,2,0)+IF(W90=CY31,2,0)+IF(N90=CY32,2,0)+IF(S90=CY32,2,0)+IF(W90=CY32,2,0)+IF(AB27=DS23,1,0)+IF(AB27=DS52,2,0)+IF(AB27=DS77,3,0)</f>
        <v>0</v>
      </c>
      <c r="AQ118" s="470"/>
      <c r="AR118" s="29"/>
      <c r="AS118" s="29">
        <v>20</v>
      </c>
      <c r="AT118" s="233" t="s">
        <v>1434</v>
      </c>
      <c r="AU118" s="233"/>
      <c r="AV118" s="233"/>
      <c r="AW118" s="233"/>
      <c r="AX118" s="233"/>
      <c r="AY118" s="233"/>
      <c r="AZ118" s="233"/>
      <c r="BA118" s="233"/>
      <c r="BB118" s="233"/>
      <c r="BC118" s="233"/>
      <c r="BD118" s="233"/>
      <c r="BE118" s="233"/>
      <c r="BF118" s="233"/>
      <c r="BG118" s="233"/>
      <c r="BH118" s="233"/>
      <c r="BI118" s="408"/>
      <c r="BJ118" s="409"/>
      <c r="BK118" s="408"/>
      <c r="BL118" s="408"/>
      <c r="BM118" s="408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9"/>
      <c r="DF118" s="29"/>
      <c r="DG118" s="29"/>
      <c r="DH118" s="29"/>
      <c r="DI118" s="252"/>
      <c r="DJ118" s="252"/>
      <c r="DK118" s="252"/>
      <c r="DL118" s="252"/>
      <c r="DM118" s="252"/>
      <c r="DN118" s="252"/>
      <c r="DO118" s="252"/>
      <c r="DP118" s="253"/>
      <c r="DQ118" s="252"/>
      <c r="DR118" s="29"/>
      <c r="DS118" s="29"/>
      <c r="DT118" s="29"/>
      <c r="DU118" s="29"/>
      <c r="DV118" s="29"/>
      <c r="DW118" s="29"/>
      <c r="DX118" s="282" t="s">
        <v>1341</v>
      </c>
      <c r="DY118" s="314"/>
      <c r="DZ118" s="314" t="s">
        <v>1303</v>
      </c>
      <c r="EA118" s="29"/>
      <c r="EB118" s="428"/>
      <c r="EC118" s="428"/>
      <c r="ED118" s="428"/>
      <c r="EE118" s="428"/>
      <c r="EF118" s="428"/>
      <c r="EG118" s="428"/>
      <c r="EH118" s="428"/>
      <c r="EI118" s="428"/>
      <c r="EJ118" s="428"/>
      <c r="EK118" s="428"/>
      <c r="EL118" s="428"/>
      <c r="EM118" s="428"/>
      <c r="EN118" s="29"/>
      <c r="EO118" s="29"/>
      <c r="EP118" s="29"/>
      <c r="EQ118" s="29"/>
      <c r="ER118" s="29"/>
      <c r="ES118" s="29"/>
      <c r="ET118" s="29"/>
      <c r="EU118" s="29"/>
      <c r="EV118" s="30"/>
      <c r="EW118" s="30"/>
      <c r="EX118" s="30"/>
      <c r="EY118" s="30"/>
      <c r="EZ118" s="30"/>
      <c r="FA118" s="30"/>
      <c r="FB118" s="30"/>
      <c r="FC118" s="30"/>
      <c r="FD118" s="30"/>
      <c r="FE118" s="30"/>
      <c r="FF118" s="30"/>
      <c r="FG118" s="30"/>
      <c r="FH118" s="30"/>
      <c r="FI118" s="30"/>
      <c r="FJ118" s="30"/>
      <c r="FK118" s="30"/>
      <c r="FL118" s="30"/>
    </row>
    <row r="119" spans="1:168" ht="15.95" customHeight="1" x14ac:dyDescent="0.25">
      <c r="A119" s="540" t="s">
        <v>81</v>
      </c>
      <c r="B119" s="541"/>
      <c r="C119" s="38"/>
      <c r="D119" s="19">
        <f>F119+H119+J119+L119</f>
        <v>0</v>
      </c>
      <c r="E119" s="36" t="s">
        <v>6</v>
      </c>
      <c r="F119" s="60"/>
      <c r="G119" s="36" t="s">
        <v>7</v>
      </c>
      <c r="H119" s="60"/>
      <c r="I119" s="36" t="s">
        <v>7</v>
      </c>
      <c r="J119" s="60"/>
      <c r="K119" s="36" t="s">
        <v>7</v>
      </c>
      <c r="L119" s="19">
        <f>IF(B2="Fine",-16,IF(B2="Diminutive",-12,IF(B2="Tiny", -8,IF(B2="Small",-4,IF(B2="Medium",0,IF(B2="Large",4,IF(B2="Huge",8,IF(B2="Gargantuan",12,IF(B2="Colossal",16,0)))))))))</f>
        <v>0</v>
      </c>
      <c r="M119" s="38"/>
      <c r="N119" s="38"/>
      <c r="O119" s="38"/>
      <c r="P119" s="38"/>
      <c r="Q119" s="29"/>
      <c r="R119" s="41" t="s">
        <v>88</v>
      </c>
      <c r="S119" s="545" t="s">
        <v>169</v>
      </c>
      <c r="T119" s="546"/>
      <c r="U119" s="40"/>
      <c r="V119" s="41" t="s">
        <v>89</v>
      </c>
      <c r="W119" s="515"/>
      <c r="X119" s="515"/>
      <c r="Y119" s="367"/>
      <c r="Z119" s="367"/>
      <c r="AA119" s="30"/>
      <c r="AB119" s="471"/>
      <c r="AC119" s="471"/>
      <c r="AD119" s="471"/>
      <c r="AE119" s="471"/>
      <c r="AF119" s="471"/>
      <c r="AG119" s="29"/>
      <c r="AH119" s="29"/>
      <c r="AI119" s="29"/>
      <c r="AJ119" s="29"/>
      <c r="AK119" s="29"/>
      <c r="AL119" s="29">
        <v>10</v>
      </c>
      <c r="AM119" s="376" t="str">
        <f t="shared" si="108"/>
        <v xml:space="preserve"> </v>
      </c>
      <c r="AN119" s="29"/>
      <c r="AO119" s="29"/>
      <c r="AP119" s="29"/>
      <c r="AQ119" s="29"/>
      <c r="AR119" s="29"/>
      <c r="AS119" s="29">
        <v>21</v>
      </c>
      <c r="AT119" s="233" t="s">
        <v>1434</v>
      </c>
      <c r="AU119" s="233"/>
      <c r="AV119" s="233"/>
      <c r="AW119" s="233"/>
      <c r="AX119" s="233"/>
      <c r="AY119" s="233"/>
      <c r="AZ119" s="233"/>
      <c r="BA119" s="233"/>
      <c r="BB119" s="233"/>
      <c r="BC119" s="233"/>
      <c r="BD119" s="233"/>
      <c r="BE119" s="233"/>
      <c r="BF119" s="233"/>
      <c r="BG119" s="233"/>
      <c r="BH119" s="233"/>
      <c r="BI119" s="408"/>
      <c r="BJ119" s="409"/>
      <c r="BK119" s="408"/>
      <c r="BL119" s="408"/>
      <c r="BM119" s="408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9"/>
      <c r="DF119" s="29"/>
      <c r="DG119" s="29"/>
      <c r="DH119" s="29"/>
      <c r="DI119" s="252"/>
      <c r="DJ119" s="252"/>
      <c r="DK119" s="252"/>
      <c r="DL119" s="252"/>
      <c r="DM119" s="252"/>
      <c r="DN119" s="252"/>
      <c r="DO119" s="252"/>
      <c r="DP119" s="252"/>
      <c r="DQ119" s="252"/>
      <c r="DR119" s="29"/>
      <c r="DS119" s="29"/>
      <c r="DT119" s="29"/>
      <c r="DU119" s="29"/>
      <c r="DV119" s="29"/>
      <c r="DW119" s="29"/>
      <c r="DX119" s="278" t="s">
        <v>1342</v>
      </c>
      <c r="DY119" s="315" t="s">
        <v>1338</v>
      </c>
      <c r="DZ119" s="315" t="s">
        <v>1304</v>
      </c>
      <c r="EA119" s="29"/>
      <c r="EB119" s="428"/>
      <c r="EC119" s="428"/>
      <c r="ED119" s="428"/>
      <c r="EE119" s="428"/>
      <c r="EF119" s="428"/>
      <c r="EG119" s="428"/>
      <c r="EH119" s="428"/>
      <c r="EI119" s="428"/>
      <c r="EJ119" s="428"/>
      <c r="EK119" s="428"/>
      <c r="EL119" s="428"/>
      <c r="EM119" s="428"/>
      <c r="EN119" s="29"/>
      <c r="EO119" s="29"/>
      <c r="EP119" s="29"/>
      <c r="EQ119" s="29"/>
      <c r="ER119" s="29"/>
      <c r="ES119" s="29"/>
      <c r="ET119" s="29"/>
      <c r="EU119" s="29"/>
      <c r="EV119" s="30"/>
      <c r="EW119" s="30"/>
      <c r="EX119" s="30"/>
      <c r="EY119" s="30"/>
      <c r="EZ119" s="30"/>
      <c r="FA119" s="30"/>
      <c r="FB119" s="30"/>
      <c r="FC119" s="30"/>
      <c r="FD119" s="30"/>
      <c r="FE119" s="30"/>
      <c r="FF119" s="30"/>
      <c r="FG119" s="30"/>
      <c r="FH119" s="30"/>
      <c r="FI119" s="30"/>
      <c r="FJ119" s="30"/>
      <c r="FK119" s="30"/>
      <c r="FL119" s="30"/>
    </row>
    <row r="120" spans="1:168" ht="15.95" customHeight="1" x14ac:dyDescent="0.25">
      <c r="A120" s="38"/>
      <c r="B120" s="10"/>
      <c r="C120" s="38"/>
      <c r="D120" s="1" t="s">
        <v>1</v>
      </c>
      <c r="E120" s="39"/>
      <c r="F120" s="1" t="s">
        <v>73</v>
      </c>
      <c r="G120" s="39"/>
      <c r="H120" s="1" t="s">
        <v>38</v>
      </c>
      <c r="I120" s="39"/>
      <c r="J120" s="1" t="s">
        <v>82</v>
      </c>
      <c r="K120" s="39"/>
      <c r="L120" s="1" t="s">
        <v>37</v>
      </c>
      <c r="M120" s="38"/>
      <c r="N120" s="38"/>
      <c r="O120" s="38"/>
      <c r="P120" s="38"/>
      <c r="Q120" s="29"/>
      <c r="R120" s="42"/>
      <c r="S120" s="97"/>
      <c r="T120" s="97"/>
      <c r="U120" s="24"/>
      <c r="V120" s="42"/>
      <c r="W120" s="97"/>
      <c r="X120" s="97"/>
      <c r="Y120" s="97"/>
      <c r="Z120" s="97"/>
      <c r="AA120" s="30"/>
      <c r="AB120" s="471"/>
      <c r="AC120" s="471"/>
      <c r="AD120" s="471"/>
      <c r="AE120" s="471"/>
      <c r="AF120" s="471"/>
      <c r="AG120" s="29"/>
      <c r="AH120" s="29"/>
      <c r="AI120" s="29"/>
      <c r="AJ120" s="29"/>
      <c r="AK120" s="29"/>
      <c r="AL120" s="29">
        <v>11</v>
      </c>
      <c r="AM120" s="376" t="str">
        <f t="shared" ref="AM120:AM132" si="109">IF($C$90=$AH$1,AT13,IF($C$90=$AH$2,AT47,IF($C$90=$AH$3,AT78,IF($C$90=$AH$4,AT109,IF($C$90=$AH$5,AT140,IF($C$90=$AH$6,AT171,IF($C$90=$AH$7,"Ranged Touch"," ")))))))</f>
        <v xml:space="preserve"> </v>
      </c>
      <c r="AN120" s="29"/>
      <c r="AO120" s="29"/>
      <c r="AP120" s="29"/>
      <c r="AQ120" s="29"/>
      <c r="AR120" s="29"/>
      <c r="AS120" s="29">
        <v>22</v>
      </c>
      <c r="AT120" s="233" t="s">
        <v>1434</v>
      </c>
      <c r="AU120" s="233"/>
      <c r="AV120" s="233"/>
      <c r="AW120" s="233"/>
      <c r="AX120" s="233"/>
      <c r="AY120" s="233"/>
      <c r="AZ120" s="233"/>
      <c r="BA120" s="233"/>
      <c r="BB120" s="233"/>
      <c r="BC120" s="233"/>
      <c r="BD120" s="233"/>
      <c r="BE120" s="233"/>
      <c r="BF120" s="233"/>
      <c r="BG120" s="233"/>
      <c r="BH120" s="233"/>
      <c r="BI120" s="408"/>
      <c r="BJ120" s="409"/>
      <c r="BK120" s="408"/>
      <c r="BL120" s="408"/>
      <c r="BM120" s="408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9"/>
      <c r="DF120" s="29"/>
      <c r="DG120" s="29"/>
      <c r="DH120" s="29"/>
      <c r="DI120" s="252"/>
      <c r="DJ120" s="252"/>
      <c r="DK120" s="252"/>
      <c r="DL120" s="252"/>
      <c r="DM120" s="252"/>
      <c r="DN120" s="252"/>
      <c r="DO120" s="252"/>
      <c r="DP120" s="252"/>
      <c r="DQ120" s="252"/>
      <c r="DR120" s="29"/>
      <c r="DS120" s="29"/>
      <c r="DT120" s="29"/>
      <c r="DU120" s="29"/>
      <c r="DV120" s="29"/>
      <c r="DW120" s="29"/>
      <c r="DX120" s="278" t="s">
        <v>1343</v>
      </c>
      <c r="DY120" s="316" t="s">
        <v>1339</v>
      </c>
      <c r="DZ120" s="316" t="s">
        <v>1305</v>
      </c>
      <c r="EA120" s="29"/>
      <c r="EB120" s="428"/>
      <c r="EC120" s="428"/>
      <c r="ED120" s="428"/>
      <c r="EE120" s="428"/>
      <c r="EF120" s="428"/>
      <c r="EG120" s="428"/>
      <c r="EH120" s="428"/>
      <c r="EI120" s="428"/>
      <c r="EJ120" s="428"/>
      <c r="EK120" s="428"/>
      <c r="EL120" s="428"/>
      <c r="EM120" s="428"/>
      <c r="EN120" s="29"/>
      <c r="EO120" s="29"/>
      <c r="EP120" s="29"/>
      <c r="EQ120" s="29"/>
      <c r="ER120" s="29"/>
      <c r="ES120" s="29"/>
      <c r="ET120" s="29"/>
      <c r="EU120" s="29"/>
      <c r="EV120" s="30"/>
      <c r="EW120" s="30"/>
      <c r="EX120" s="30"/>
      <c r="EY120" s="30"/>
      <c r="EZ120" s="30"/>
      <c r="FA120" s="30"/>
      <c r="FB120" s="30"/>
      <c r="FC120" s="30"/>
      <c r="FD120" s="30"/>
      <c r="FE120" s="30"/>
      <c r="FF120" s="30"/>
      <c r="FG120" s="30"/>
      <c r="FH120" s="30"/>
      <c r="FI120" s="30"/>
      <c r="FJ120" s="30"/>
      <c r="FK120" s="30"/>
      <c r="FL120" s="30"/>
    </row>
    <row r="121" spans="1:168" ht="15.95" customHeight="1" x14ac:dyDescent="0.25">
      <c r="A121" s="540" t="s">
        <v>83</v>
      </c>
      <c r="B121" s="541"/>
      <c r="C121" s="38"/>
      <c r="D121" s="19">
        <f>F121+H121+J121+L121</f>
        <v>0</v>
      </c>
      <c r="E121" s="36" t="s">
        <v>6</v>
      </c>
      <c r="F121" s="60"/>
      <c r="G121" s="36" t="s">
        <v>7</v>
      </c>
      <c r="H121" s="60"/>
      <c r="I121" s="36" t="s">
        <v>7</v>
      </c>
      <c r="J121" s="60"/>
      <c r="K121" s="36" t="s">
        <v>7</v>
      </c>
      <c r="L121" s="19">
        <f>IF(B2="Fine",-16,IF(B2="Diminutive",-12,IF(B2="Tiny", -8,IF(B2="Small",-4,IF(B2="Medium",0,IF(B2="Large",4,IF(B2="Huge",8,IF(B2="Gargantuan",12,IF(B2="Colossal",16,0)))))))))</f>
        <v>0</v>
      </c>
      <c r="M121" s="38"/>
      <c r="N121" s="38"/>
      <c r="O121" s="38"/>
      <c r="P121" s="38"/>
      <c r="Q121" s="29"/>
      <c r="R121" s="41" t="s">
        <v>88</v>
      </c>
      <c r="S121" s="545" t="s">
        <v>169</v>
      </c>
      <c r="T121" s="546"/>
      <c r="U121" s="40"/>
      <c r="V121" s="41" t="s">
        <v>89</v>
      </c>
      <c r="W121" s="515"/>
      <c r="X121" s="515"/>
      <c r="Y121" s="367"/>
      <c r="Z121" s="367"/>
      <c r="AA121" s="30"/>
      <c r="AB121" s="471"/>
      <c r="AC121" s="471"/>
      <c r="AD121" s="471"/>
      <c r="AE121" s="471"/>
      <c r="AF121" s="471"/>
      <c r="AG121" s="29"/>
      <c r="AH121" s="29"/>
      <c r="AI121" s="29"/>
      <c r="AJ121" s="29"/>
      <c r="AK121" s="29"/>
      <c r="AL121" s="29">
        <v>12</v>
      </c>
      <c r="AM121" s="376" t="str">
        <f t="shared" si="109"/>
        <v xml:space="preserve"> </v>
      </c>
      <c r="AN121" s="29"/>
      <c r="AO121" s="29"/>
      <c r="AP121" s="29"/>
      <c r="AQ121" s="29"/>
      <c r="AR121" s="29"/>
      <c r="AS121" s="29">
        <v>23</v>
      </c>
      <c r="AT121" s="233" t="s">
        <v>1434</v>
      </c>
      <c r="AU121" s="233"/>
      <c r="AV121" s="233"/>
      <c r="AW121" s="233"/>
      <c r="AX121" s="233"/>
      <c r="AY121" s="233"/>
      <c r="AZ121" s="233"/>
      <c r="BA121" s="233"/>
      <c r="BB121" s="233"/>
      <c r="BC121" s="233"/>
      <c r="BD121" s="233"/>
      <c r="BE121" s="233"/>
      <c r="BF121" s="233"/>
      <c r="BG121" s="233"/>
      <c r="BH121" s="233"/>
      <c r="BI121" s="408"/>
      <c r="BJ121" s="409"/>
      <c r="BK121" s="408"/>
      <c r="BL121" s="408"/>
      <c r="BM121" s="408"/>
      <c r="BN121" s="233"/>
      <c r="BO121" s="233"/>
      <c r="BP121" s="233"/>
      <c r="BQ121" s="233"/>
      <c r="BR121" s="233"/>
      <c r="BS121" s="233"/>
      <c r="BT121" s="233"/>
      <c r="BU121" s="233"/>
      <c r="BV121" s="233"/>
      <c r="BW121" s="233"/>
      <c r="BX121" s="233"/>
      <c r="BY121" s="233"/>
      <c r="BZ121" s="233"/>
      <c r="CG121" s="233"/>
      <c r="CH121" s="233"/>
      <c r="CI121" s="233"/>
      <c r="CJ121" s="233"/>
      <c r="CK121" s="233"/>
      <c r="CL121" s="233"/>
      <c r="CM121" s="233"/>
      <c r="CN121" s="233"/>
      <c r="CO121" s="233"/>
      <c r="CP121" s="233"/>
      <c r="CQ121" s="233"/>
      <c r="CR121" s="233"/>
      <c r="CS121" s="233"/>
      <c r="CT121" s="233"/>
      <c r="CU121" s="233"/>
      <c r="CV121" s="233"/>
      <c r="CW121" s="233"/>
      <c r="CX121" s="233"/>
      <c r="CY121" s="233"/>
      <c r="CZ121" s="233"/>
      <c r="DA121" s="233"/>
      <c r="DB121" s="233"/>
      <c r="DC121" s="233"/>
      <c r="DD121" s="233"/>
      <c r="DE121" s="29"/>
      <c r="DF121" s="29"/>
      <c r="DG121" s="29"/>
      <c r="DH121" s="29"/>
      <c r="DI121" s="252"/>
      <c r="DJ121" s="252"/>
      <c r="DK121" s="252"/>
      <c r="DL121" s="252"/>
      <c r="DM121" s="252"/>
      <c r="DN121" s="252"/>
      <c r="DO121" s="252"/>
      <c r="DP121" s="252"/>
      <c r="DQ121" s="252"/>
      <c r="DR121" s="29"/>
      <c r="DS121" s="29"/>
      <c r="DT121" s="29"/>
      <c r="DU121" s="29"/>
      <c r="DV121" s="29"/>
      <c r="DW121" s="29"/>
      <c r="DX121" s="282" t="s">
        <v>1344</v>
      </c>
      <c r="DY121" s="317"/>
      <c r="DZ121" s="317" t="s">
        <v>1306</v>
      </c>
      <c r="EA121" s="29"/>
      <c r="EB121" s="428"/>
      <c r="EC121" s="428"/>
      <c r="ED121" s="428"/>
      <c r="EE121" s="428"/>
      <c r="EF121" s="428"/>
      <c r="EG121" s="428"/>
      <c r="EH121" s="428"/>
      <c r="EI121" s="428"/>
      <c r="EJ121" s="428"/>
      <c r="EK121" s="428"/>
      <c r="EL121" s="428"/>
      <c r="EM121" s="428"/>
      <c r="EN121" s="29"/>
      <c r="EO121" s="29"/>
      <c r="EP121" s="29"/>
      <c r="EQ121" s="29"/>
      <c r="ER121" s="29"/>
      <c r="ES121" s="29"/>
      <c r="ET121" s="29"/>
      <c r="EU121" s="29"/>
      <c r="EV121" s="30"/>
      <c r="EW121" s="30"/>
      <c r="EX121" s="30"/>
      <c r="EY121" s="30"/>
      <c r="EZ121" s="30"/>
      <c r="FA121" s="30"/>
      <c r="FB121" s="30"/>
      <c r="FC121" s="30"/>
      <c r="FD121" s="30"/>
      <c r="FE121" s="30"/>
      <c r="FF121" s="30"/>
      <c r="FG121" s="30"/>
      <c r="FH121" s="30"/>
      <c r="FI121" s="30"/>
      <c r="FJ121" s="30"/>
      <c r="FK121" s="30"/>
      <c r="FL121" s="30"/>
    </row>
    <row r="122" spans="1:168" ht="15.95" customHeight="1" x14ac:dyDescent="0.25">
      <c r="A122" s="38"/>
      <c r="B122" s="10"/>
      <c r="C122" s="38"/>
      <c r="D122" s="1" t="s">
        <v>1</v>
      </c>
      <c r="E122" s="39"/>
      <c r="F122" s="1" t="s">
        <v>73</v>
      </c>
      <c r="G122" s="39"/>
      <c r="H122" s="1" t="s">
        <v>38</v>
      </c>
      <c r="I122" s="39"/>
      <c r="J122" s="1" t="s">
        <v>82</v>
      </c>
      <c r="K122" s="39"/>
      <c r="L122" s="1" t="s">
        <v>37</v>
      </c>
      <c r="M122" s="38"/>
      <c r="N122" s="38"/>
      <c r="O122" s="38"/>
      <c r="P122" s="38"/>
      <c r="Q122" s="38"/>
      <c r="R122" s="43"/>
      <c r="S122" s="36"/>
      <c r="T122" s="36"/>
      <c r="U122" s="26"/>
      <c r="V122" s="43"/>
      <c r="W122" s="36"/>
      <c r="X122" s="36"/>
      <c r="Y122" s="36"/>
      <c r="Z122" s="36"/>
      <c r="AA122" s="30"/>
      <c r="AB122" s="471"/>
      <c r="AC122" s="471"/>
      <c r="AD122" s="471"/>
      <c r="AE122" s="471"/>
      <c r="AF122" s="471"/>
      <c r="AG122" s="29"/>
      <c r="AH122" s="29"/>
      <c r="AI122" s="29"/>
      <c r="AJ122" s="29"/>
      <c r="AK122" s="29"/>
      <c r="AL122" s="29">
        <v>13</v>
      </c>
      <c r="AM122" s="376" t="str">
        <f t="shared" si="109"/>
        <v xml:space="preserve"> </v>
      </c>
      <c r="AN122" s="29"/>
      <c r="AO122" s="29"/>
      <c r="AP122" s="29"/>
      <c r="AQ122" s="29"/>
      <c r="AR122" s="29"/>
      <c r="AS122" s="29" t="s">
        <v>1562</v>
      </c>
      <c r="AT122" s="371" t="str">
        <f>IF($C$42=$AH$4,$G$42," ")</f>
        <v xml:space="preserve"> </v>
      </c>
      <c r="AU122" s="371">
        <f>IF(AT122=AT99,AU99,IF(AT122=AT100,AU100,IF(AT122=AT101,AU101,IF(AT122=AT102,AU102,IF(AT122=AT103,AU103,IF(AT122=AT104,AU104,IF(AT122=AT105,AU105,IF(AT122=AT106,AU106,IF(AT122=AT107,AU107,IF(AT122=AT108,AU108,IF(AT122=AT109,AU109,IF(AT122=AT110,AU110,IF(AT122=AT111,AU111,IF(AT122=AT113,AU113,IF(AT122=AT114,AU114,IF(AT122=AT115,AU115,IF(AT122=AT116,AU116,0)))))))))))))))))</f>
        <v>0</v>
      </c>
      <c r="AV122" s="371">
        <f t="shared" ref="AV122:BF122" si="110">IF($AT$122=$AT$99,AV99,IF($AT$122=$AT$100,AV100,IF($AT$122=$AT$101,AV101,IF($AT$122=$AT$102,AV102,IF($AT$122=$AT$103,AV103,IF($AT$122=$AT$104,AV104,IF($AT$122=$AT$105,AV105,IF($AT$122=$AT$106,AV106,IF($AT$122=$AT$107,AV107,IF($AT$122=$AT$108,AV108,IF($AT$122=$AT$109,AV109,IF($AT$122=$AT$110,AV110,IF($AT$122=$AT$111,AV111,IF($AT$122=$AT$113,AV113,IF($AT$122=$AT$114,AV114,IF($AT$122=$AT$115,AV115,IF($AT$122=$AT$116,AV116,0)))))))))))))))))</f>
        <v>0</v>
      </c>
      <c r="AW122" s="371">
        <f t="shared" si="110"/>
        <v>0</v>
      </c>
      <c r="AX122" s="371">
        <f t="shared" si="110"/>
        <v>0</v>
      </c>
      <c r="AY122" s="371">
        <f t="shared" si="110"/>
        <v>0</v>
      </c>
      <c r="AZ122" s="371">
        <f t="shared" si="110"/>
        <v>0</v>
      </c>
      <c r="BA122" s="371">
        <f t="shared" si="110"/>
        <v>0</v>
      </c>
      <c r="BB122" s="371">
        <f t="shared" si="110"/>
        <v>0</v>
      </c>
      <c r="BC122" s="371">
        <f t="shared" si="110"/>
        <v>0</v>
      </c>
      <c r="BD122" s="371">
        <f t="shared" si="110"/>
        <v>0</v>
      </c>
      <c r="BE122" s="371">
        <f t="shared" si="110"/>
        <v>0</v>
      </c>
      <c r="BF122" s="371">
        <f t="shared" si="110"/>
        <v>0</v>
      </c>
      <c r="BG122" s="233"/>
      <c r="BH122" s="233"/>
      <c r="BI122" s="408"/>
      <c r="BJ122" s="409"/>
      <c r="BK122" s="408"/>
      <c r="BL122" s="408"/>
      <c r="BM122" s="408"/>
      <c r="BN122" s="233"/>
      <c r="BO122" s="233"/>
      <c r="BP122" s="233"/>
      <c r="BQ122" s="233"/>
      <c r="BR122" s="233"/>
      <c r="BS122" s="233"/>
      <c r="BT122" s="233"/>
      <c r="BU122" s="233"/>
      <c r="BV122" s="233"/>
      <c r="BW122" s="233"/>
      <c r="BX122" s="233"/>
      <c r="BY122" s="233"/>
      <c r="BZ122" s="233"/>
      <c r="CG122" s="233"/>
      <c r="CH122" s="233"/>
      <c r="CI122" s="233"/>
      <c r="CJ122" s="233"/>
      <c r="CK122" s="233"/>
      <c r="CL122" s="233"/>
      <c r="CM122" s="233"/>
      <c r="CN122" s="233"/>
      <c r="CO122" s="233"/>
      <c r="CP122" s="233"/>
      <c r="CQ122" s="233"/>
      <c r="CR122" s="233"/>
      <c r="CS122" s="233"/>
      <c r="CT122" s="233"/>
      <c r="CU122" s="233"/>
      <c r="CV122" s="233"/>
      <c r="CW122" s="233"/>
      <c r="CX122" s="233"/>
      <c r="CY122" s="233"/>
      <c r="CZ122" s="233"/>
      <c r="DA122" s="233"/>
      <c r="DB122" s="233"/>
      <c r="DC122" s="233"/>
      <c r="DD122" s="233"/>
      <c r="DE122" s="29"/>
      <c r="DF122" s="29"/>
      <c r="DG122" s="29"/>
      <c r="DH122" s="29"/>
      <c r="DI122" s="252"/>
      <c r="DJ122" s="252"/>
      <c r="DK122" s="252"/>
      <c r="DL122" s="252"/>
      <c r="DM122" s="252"/>
      <c r="DN122" s="252"/>
      <c r="DO122" s="252"/>
      <c r="DP122" s="252"/>
      <c r="DQ122" s="252"/>
      <c r="DR122" s="29"/>
      <c r="DS122" s="29"/>
      <c r="DT122" s="29"/>
      <c r="DU122" s="29"/>
      <c r="DV122" s="29"/>
      <c r="DW122" s="29"/>
      <c r="DX122" s="278" t="s">
        <v>1345</v>
      </c>
      <c r="DY122" s="316" t="s">
        <v>1340</v>
      </c>
      <c r="DZ122" s="316" t="s">
        <v>1307</v>
      </c>
      <c r="EA122" s="29"/>
      <c r="EB122" s="428"/>
      <c r="EC122" s="428"/>
      <c r="ED122" s="428"/>
      <c r="EE122" s="428"/>
      <c r="EF122" s="428"/>
      <c r="EG122" s="428"/>
      <c r="EH122" s="428"/>
      <c r="EI122" s="428"/>
      <c r="EJ122" s="428"/>
      <c r="EK122" s="428"/>
      <c r="EL122" s="428"/>
      <c r="EM122" s="428"/>
      <c r="EN122" s="29"/>
      <c r="EO122" s="29"/>
      <c r="EP122" s="29"/>
      <c r="EQ122" s="29"/>
      <c r="ER122" s="29"/>
      <c r="ES122" s="29"/>
      <c r="ET122" s="29"/>
      <c r="EU122" s="29"/>
      <c r="EV122" s="30"/>
      <c r="EW122" s="30"/>
      <c r="EX122" s="30"/>
      <c r="EY122" s="30"/>
      <c r="EZ122" s="30"/>
      <c r="FA122" s="30"/>
      <c r="FB122" s="30"/>
      <c r="FC122" s="30"/>
      <c r="FD122" s="30"/>
      <c r="FE122" s="30"/>
      <c r="FF122" s="30"/>
      <c r="FG122" s="30"/>
      <c r="FH122" s="30"/>
      <c r="FI122" s="30"/>
      <c r="FJ122" s="30"/>
      <c r="FK122" s="30"/>
      <c r="FL122" s="30"/>
    </row>
    <row r="123" spans="1:168" ht="15.95" customHeight="1" x14ac:dyDescent="0.25">
      <c r="A123" s="540" t="s">
        <v>77</v>
      </c>
      <c r="B123" s="541"/>
      <c r="C123" s="38"/>
      <c r="D123" s="19">
        <f>F123+H123+J123+L123+N123+P123</f>
        <v>0</v>
      </c>
      <c r="E123" s="36" t="s">
        <v>6</v>
      </c>
      <c r="F123" s="60"/>
      <c r="G123" s="36" t="s">
        <v>7</v>
      </c>
      <c r="H123" s="60"/>
      <c r="I123" s="36" t="s">
        <v>7</v>
      </c>
      <c r="J123" s="60"/>
      <c r="K123" s="36" t="s">
        <v>7</v>
      </c>
      <c r="L123" s="60"/>
      <c r="M123" s="36" t="s">
        <v>7</v>
      </c>
      <c r="N123" s="60"/>
      <c r="O123" s="36" t="s">
        <v>7</v>
      </c>
      <c r="P123" s="19">
        <f>IF(B2="Fine",-16,IF(B2="Diminutive",-12,IF(B2="Tiny", -8,IF(B2="Small",-4,IF(B2="Medium",0,IF(B2="Large",4,IF(B2="Huge",8,IF(B2="Gargantuan",12,IF(B2="Colossal",16,0)))))))))</f>
        <v>0</v>
      </c>
      <c r="Q123" s="38"/>
      <c r="R123" s="41" t="s">
        <v>88</v>
      </c>
      <c r="S123" s="545" t="s">
        <v>169</v>
      </c>
      <c r="T123" s="546"/>
      <c r="U123" s="40"/>
      <c r="V123" s="41" t="s">
        <v>89</v>
      </c>
      <c r="W123" s="515"/>
      <c r="X123" s="515"/>
      <c r="Y123" s="367"/>
      <c r="Z123" s="367"/>
      <c r="AA123" s="30"/>
      <c r="AB123" s="471"/>
      <c r="AC123" s="471"/>
      <c r="AD123" s="471"/>
      <c r="AE123" s="471"/>
      <c r="AF123" s="471"/>
      <c r="AG123" s="29"/>
      <c r="AH123" s="29"/>
      <c r="AI123" s="29"/>
      <c r="AJ123" s="29"/>
      <c r="AK123" s="29"/>
      <c r="AL123" s="29">
        <v>14</v>
      </c>
      <c r="AM123" s="376" t="str">
        <f t="shared" si="109"/>
        <v xml:space="preserve"> </v>
      </c>
      <c r="AN123" s="29"/>
      <c r="AO123" s="29"/>
      <c r="AP123" s="29"/>
      <c r="AQ123" s="29"/>
      <c r="AR123" s="29"/>
      <c r="AS123" s="29" t="s">
        <v>1563</v>
      </c>
      <c r="AT123" s="371" t="str">
        <f>IF($C$54=$AH$4,$G$54," ")</f>
        <v xml:space="preserve"> </v>
      </c>
      <c r="AU123" s="371">
        <f t="shared" ref="AU123:BF123" si="111">IF($AT$123=$AT$99,AU99,IF($AT$123=$AT$100,AU100,IF($AT$123=$AT$101,AU101,IF($AT$123=$AT$102,AU102,IF($AT$123=$AT$103,AU103,IF($AT$123=$AT$104,AU104,IF($AT$123=$AT$105,AU105,IF($AT$123=$AT$106,AU106,IF($AT$123=$AT$107,AU107,IF($AT$123=$AT$108,AU108,IF($AT$123=$AT$109,AU109,IF($AT$123=$AT$110,AU110,IF($AT$123=$AT$111,AU111,IF($AT$123=$AT$113,AU113,IF($AT$123=$AT$114,AU114,IF($AT$123=$AT$115,AU115,IF($AT$123=$AT$116,AU116,0)))))))))))))))))</f>
        <v>0</v>
      </c>
      <c r="AV123" s="371">
        <f t="shared" si="111"/>
        <v>0</v>
      </c>
      <c r="AW123" s="371">
        <f t="shared" si="111"/>
        <v>0</v>
      </c>
      <c r="AX123" s="371">
        <f t="shared" si="111"/>
        <v>0</v>
      </c>
      <c r="AY123" s="371">
        <f t="shared" si="111"/>
        <v>0</v>
      </c>
      <c r="AZ123" s="371">
        <f t="shared" si="111"/>
        <v>0</v>
      </c>
      <c r="BA123" s="371">
        <f t="shared" si="111"/>
        <v>0</v>
      </c>
      <c r="BB123" s="371">
        <f t="shared" si="111"/>
        <v>0</v>
      </c>
      <c r="BC123" s="371">
        <f t="shared" si="111"/>
        <v>0</v>
      </c>
      <c r="BD123" s="371">
        <f t="shared" si="111"/>
        <v>0</v>
      </c>
      <c r="BE123" s="371">
        <f t="shared" si="111"/>
        <v>0</v>
      </c>
      <c r="BF123" s="371">
        <f t="shared" si="111"/>
        <v>0</v>
      </c>
      <c r="BG123" s="233"/>
      <c r="BH123" s="233"/>
      <c r="BI123" s="408"/>
      <c r="BJ123" s="409"/>
      <c r="BK123" s="408"/>
      <c r="BL123" s="408"/>
      <c r="BM123" s="408"/>
      <c r="BN123" s="233"/>
      <c r="BO123" s="233"/>
      <c r="BP123" s="233"/>
      <c r="BQ123" s="233"/>
      <c r="BR123" s="233"/>
      <c r="BS123" s="233"/>
      <c r="BT123" s="233"/>
      <c r="BU123" s="233"/>
      <c r="BV123" s="233"/>
      <c r="BW123" s="233"/>
      <c r="BX123" s="233"/>
      <c r="BY123" s="233"/>
      <c r="BZ123" s="233"/>
      <c r="CG123" s="233"/>
      <c r="CH123" s="233"/>
      <c r="CI123" s="233"/>
      <c r="CJ123" s="233"/>
      <c r="CK123" s="233"/>
      <c r="CL123" s="233"/>
      <c r="CM123" s="233"/>
      <c r="CN123" s="233"/>
      <c r="CO123" s="233"/>
      <c r="CP123" s="233"/>
      <c r="CQ123" s="233"/>
      <c r="CR123" s="233"/>
      <c r="CS123" s="233"/>
      <c r="CT123" s="233"/>
      <c r="CU123" s="233"/>
      <c r="CV123" s="233"/>
      <c r="CW123" s="233"/>
      <c r="CX123" s="233"/>
      <c r="CY123" s="233"/>
      <c r="CZ123" s="233"/>
      <c r="DA123" s="233"/>
      <c r="DB123" s="233"/>
      <c r="DC123" s="233"/>
      <c r="DD123" s="233"/>
      <c r="DE123" s="29"/>
      <c r="DF123" s="29"/>
      <c r="DG123" s="29"/>
      <c r="DH123" s="29"/>
      <c r="DI123" s="29"/>
      <c r="DJ123" s="252"/>
      <c r="DK123" s="252"/>
      <c r="DL123" s="252"/>
      <c r="DM123" s="252"/>
      <c r="DN123" s="252"/>
      <c r="DO123" s="252"/>
      <c r="DP123" s="252"/>
      <c r="DQ123" s="252"/>
      <c r="DR123" s="29"/>
      <c r="DS123" s="29"/>
      <c r="DT123" s="29"/>
      <c r="DU123" s="29"/>
      <c r="DV123" s="29"/>
      <c r="DW123" s="29"/>
      <c r="DX123" s="282" t="s">
        <v>1346</v>
      </c>
      <c r="DY123" s="315" t="s">
        <v>1341</v>
      </c>
      <c r="DZ123" s="315" t="s">
        <v>1308</v>
      </c>
      <c r="EA123" s="29"/>
      <c r="EB123" s="428"/>
      <c r="EC123" s="428"/>
      <c r="ED123" s="428"/>
      <c r="EE123" s="428"/>
      <c r="EF123" s="428"/>
      <c r="EG123" s="428"/>
      <c r="EH123" s="428"/>
      <c r="EI123" s="428"/>
      <c r="EJ123" s="428"/>
      <c r="EK123" s="428"/>
      <c r="EL123" s="428"/>
      <c r="EM123" s="428"/>
      <c r="EN123" s="29"/>
      <c r="EO123" s="29"/>
      <c r="EP123" s="29"/>
      <c r="EQ123" s="29"/>
      <c r="ER123" s="29"/>
      <c r="ES123" s="29"/>
      <c r="ET123" s="29"/>
      <c r="EU123" s="29"/>
      <c r="EV123" s="30"/>
      <c r="EW123" s="30"/>
      <c r="EX123" s="30"/>
      <c r="EY123" s="30"/>
      <c r="EZ123" s="30"/>
      <c r="FA123" s="30"/>
      <c r="FB123" s="30"/>
      <c r="FC123" s="30"/>
      <c r="FD123" s="30"/>
      <c r="FE123" s="30"/>
      <c r="FF123" s="30"/>
      <c r="FG123" s="30"/>
      <c r="FH123" s="30"/>
      <c r="FI123" s="30"/>
      <c r="FJ123" s="30"/>
      <c r="FK123" s="30"/>
      <c r="FL123" s="30"/>
    </row>
    <row r="124" spans="1:168" ht="15.95" customHeight="1" x14ac:dyDescent="0.25">
      <c r="A124" s="38"/>
      <c r="B124" s="10"/>
      <c r="C124" s="38"/>
      <c r="D124" s="1" t="s">
        <v>1</v>
      </c>
      <c r="E124" s="39"/>
      <c r="F124" s="1" t="s">
        <v>73</v>
      </c>
      <c r="G124" s="39"/>
      <c r="H124" s="1" t="s">
        <v>78</v>
      </c>
      <c r="I124" s="39"/>
      <c r="J124" s="1" t="s">
        <v>79</v>
      </c>
      <c r="K124" s="39"/>
      <c r="L124" s="1" t="s">
        <v>80</v>
      </c>
      <c r="M124" s="39"/>
      <c r="N124" s="1" t="s">
        <v>38</v>
      </c>
      <c r="O124" s="39"/>
      <c r="P124" s="1" t="s">
        <v>37</v>
      </c>
      <c r="Q124" s="38"/>
      <c r="R124" s="43"/>
      <c r="S124" s="36"/>
      <c r="T124" s="36"/>
      <c r="U124" s="26"/>
      <c r="V124" s="43"/>
      <c r="W124" s="36"/>
      <c r="X124" s="36"/>
      <c r="Y124" s="36"/>
      <c r="Z124" s="36"/>
      <c r="AA124" s="30"/>
      <c r="AB124" s="471"/>
      <c r="AC124" s="471"/>
      <c r="AD124" s="471"/>
      <c r="AE124" s="471"/>
      <c r="AF124" s="471"/>
      <c r="AG124" s="29"/>
      <c r="AH124" s="29"/>
      <c r="AI124" s="29"/>
      <c r="AJ124" s="29"/>
      <c r="AK124" s="29"/>
      <c r="AL124" s="29">
        <v>15</v>
      </c>
      <c r="AM124" s="376" t="str">
        <f t="shared" si="109"/>
        <v xml:space="preserve"> </v>
      </c>
      <c r="AN124" s="29"/>
      <c r="AO124" s="29"/>
      <c r="AP124" s="29"/>
      <c r="AQ124" s="29"/>
      <c r="AR124" s="29"/>
      <c r="AS124" s="29" t="s">
        <v>1564</v>
      </c>
      <c r="AT124" s="371" t="str">
        <f>IF($C$66=$AH$4,$G$66," ")</f>
        <v xml:space="preserve"> </v>
      </c>
      <c r="AU124" s="371">
        <f>IF($AT$124=$AT$99,AU99,IF($AT$124=$AT$100,AU100,IF($AT$124=$AT$101,AU101,IF($AT$124=$AT$102,AU102,IF($AT$124=$AT$103,AU103,IF($AT$124=$AT$104,AU104,IF($AT$124=$AT$105,AU105,IF($AT$124=$AT$106,AU106,IF($AT$124=$AT$107,AU107,IF($AT$124=$AT$108,AU108,IF($AT$124=$AT$109,AU109,IF($AT$124=$AT$110,AU110,IF($AT$124=$AT$111,AU111,IF($AT$124=$AT$113,AU113,IF($AT$124=$AT$114,AU114,IF($AT$124=$AT$115,AU115,IF($AT$124=$AT$116,AU116,0)))))))))))))))))</f>
        <v>0</v>
      </c>
      <c r="AV124" s="371">
        <f t="shared" ref="AV124:BF124" si="112">IF($AT$124=$AT$99,AV99,IF($AT$1213=$AT$100,AV100,IF($AT$124=$AT$101,AV101,IF($AT$124=$AT$102,AV102,IF($AT$124=$AT$103,AV103,IF($AT$124=$AT$104,AV104,IF($AT$124=$AT$105,AV105,IF($AT$124=$AT$106,AV106,IF($AT$124=$AT$107,AV107,IF($AT$124=$AT$108,AV108,IF($AT$124=$AT$109,AV109,IF($AT$124=$AT$110,AV110,IF($AT$124=$AT$111,AV111,IF($AT$124=$AT$113,AV113,IF($AT$124=$AT$114,AV114,IF($AT$124=$AT$115,AV115,IF($AT$124=$AT$116,AV116,0)))))))))))))))))</f>
        <v>0</v>
      </c>
      <c r="AW124" s="371">
        <f t="shared" si="112"/>
        <v>0</v>
      </c>
      <c r="AX124" s="371">
        <f t="shared" si="112"/>
        <v>0</v>
      </c>
      <c r="AY124" s="371">
        <f t="shared" si="112"/>
        <v>0</v>
      </c>
      <c r="AZ124" s="371">
        <f t="shared" si="112"/>
        <v>0</v>
      </c>
      <c r="BA124" s="371">
        <f t="shared" si="112"/>
        <v>0</v>
      </c>
      <c r="BB124" s="371">
        <f t="shared" si="112"/>
        <v>0</v>
      </c>
      <c r="BC124" s="371">
        <f t="shared" si="112"/>
        <v>0</v>
      </c>
      <c r="BD124" s="371">
        <f t="shared" si="112"/>
        <v>0</v>
      </c>
      <c r="BE124" s="371">
        <f t="shared" si="112"/>
        <v>0</v>
      </c>
      <c r="BF124" s="371">
        <f t="shared" si="112"/>
        <v>0</v>
      </c>
      <c r="BG124" s="233"/>
      <c r="BH124" s="233"/>
      <c r="BI124" s="408"/>
      <c r="BJ124" s="409"/>
      <c r="BK124" s="408"/>
      <c r="BL124" s="408"/>
      <c r="BM124" s="408"/>
      <c r="BN124" s="233"/>
      <c r="BO124" s="233"/>
      <c r="BP124" s="233"/>
      <c r="BQ124" s="233"/>
      <c r="BR124" s="233"/>
      <c r="BS124" s="233"/>
      <c r="BT124" s="233"/>
      <c r="BU124" s="233"/>
      <c r="BV124" s="233"/>
      <c r="BW124" s="233"/>
      <c r="BX124" s="233"/>
      <c r="BY124" s="233"/>
      <c r="BZ124" s="233"/>
      <c r="CG124" s="233"/>
      <c r="CH124" s="233"/>
      <c r="CI124" s="233"/>
      <c r="CJ124" s="233"/>
      <c r="CK124" s="233"/>
      <c r="CL124" s="233"/>
      <c r="CM124" s="233"/>
      <c r="CN124" s="233"/>
      <c r="CO124" s="233"/>
      <c r="CP124" s="233"/>
      <c r="CQ124" s="233"/>
      <c r="CR124" s="233"/>
      <c r="CS124" s="233"/>
      <c r="CT124" s="233"/>
      <c r="CU124" s="233"/>
      <c r="CV124" s="233"/>
      <c r="CW124" s="233"/>
      <c r="CX124" s="233"/>
      <c r="CY124" s="233"/>
      <c r="CZ124" s="233"/>
      <c r="DA124" s="233"/>
      <c r="DB124" s="233"/>
      <c r="DC124" s="233"/>
      <c r="DD124" s="233"/>
      <c r="DE124" s="29"/>
      <c r="DF124" s="29"/>
      <c r="DG124" s="29"/>
      <c r="DH124" s="29"/>
      <c r="DI124" s="29"/>
      <c r="DJ124" s="252"/>
      <c r="DK124" s="252"/>
      <c r="DL124" s="252"/>
      <c r="DM124" s="252"/>
      <c r="DN124" s="252"/>
      <c r="DO124" s="252"/>
      <c r="DP124" s="252"/>
      <c r="DQ124" s="252"/>
      <c r="DR124" s="29"/>
      <c r="DS124" s="29"/>
      <c r="DT124" s="29"/>
      <c r="DU124" s="29"/>
      <c r="DV124" s="29"/>
      <c r="DW124" s="29"/>
      <c r="DX124" s="278" t="s">
        <v>1347</v>
      </c>
      <c r="DY124" s="316" t="s">
        <v>1342</v>
      </c>
      <c r="DZ124" s="316" t="s">
        <v>1309</v>
      </c>
      <c r="EA124" s="29"/>
      <c r="EB124" s="428"/>
      <c r="EC124" s="428"/>
      <c r="ED124" s="428"/>
      <c r="EE124" s="428"/>
      <c r="EF124" s="428"/>
      <c r="EG124" s="428"/>
      <c r="EH124" s="428"/>
      <c r="EI124" s="428"/>
      <c r="EJ124" s="428"/>
      <c r="EK124" s="428"/>
      <c r="EL124" s="428"/>
      <c r="EM124" s="428"/>
      <c r="EN124" s="29"/>
      <c r="EO124" s="29"/>
      <c r="EP124" s="29"/>
      <c r="EQ124" s="29"/>
      <c r="ER124" s="29"/>
      <c r="ES124" s="29"/>
      <c r="ET124" s="29"/>
      <c r="EU124" s="29"/>
      <c r="EV124" s="30"/>
      <c r="EW124" s="30"/>
      <c r="EX124" s="30"/>
      <c r="EY124" s="30"/>
      <c r="EZ124" s="30"/>
      <c r="FA124" s="30"/>
      <c r="FB124" s="30"/>
      <c r="FC124" s="30"/>
      <c r="FD124" s="30"/>
      <c r="FE124" s="30"/>
      <c r="FF124" s="30"/>
      <c r="FG124" s="30"/>
      <c r="FH124" s="30"/>
      <c r="FI124" s="30"/>
      <c r="FJ124" s="30"/>
      <c r="FK124" s="30"/>
      <c r="FL124" s="30"/>
    </row>
    <row r="125" spans="1:168" ht="15.95" customHeight="1" x14ac:dyDescent="0.25">
      <c r="A125" s="540" t="s">
        <v>84</v>
      </c>
      <c r="B125" s="541"/>
      <c r="C125" s="38"/>
      <c r="D125" s="19">
        <f>F125+H125+J125+L125+N125+P125</f>
        <v>0</v>
      </c>
      <c r="E125" s="36" t="s">
        <v>6</v>
      </c>
      <c r="F125" s="60"/>
      <c r="G125" s="36" t="s">
        <v>7</v>
      </c>
      <c r="H125" s="60"/>
      <c r="I125" s="36" t="s">
        <v>7</v>
      </c>
      <c r="J125" s="60"/>
      <c r="K125" s="36" t="s">
        <v>7</v>
      </c>
      <c r="L125" s="60"/>
      <c r="M125" s="36" t="s">
        <v>7</v>
      </c>
      <c r="N125" s="60"/>
      <c r="O125" s="36" t="s">
        <v>7</v>
      </c>
      <c r="P125" s="19">
        <f>IF(B2="Fine",-16,IF(B2="Diminutive",-12,IF(B2="Tiny", -8,IF(B2="Small",-4,IF(B2="Medium",0,IF(B2="Large",4,IF(B2="Huge",8,IF(B2="Gargantuan",12,IF(B2="Colossal",16,0)))))))))</f>
        <v>0</v>
      </c>
      <c r="Q125" s="29"/>
      <c r="R125" s="41" t="s">
        <v>88</v>
      </c>
      <c r="S125" s="545" t="s">
        <v>169</v>
      </c>
      <c r="T125" s="546"/>
      <c r="U125" s="40"/>
      <c r="V125" s="41" t="s">
        <v>89</v>
      </c>
      <c r="W125" s="515"/>
      <c r="X125" s="515"/>
      <c r="Y125" s="367"/>
      <c r="Z125" s="367"/>
      <c r="AA125" s="30"/>
      <c r="AB125" s="471"/>
      <c r="AC125" s="471"/>
      <c r="AD125" s="471"/>
      <c r="AE125" s="471"/>
      <c r="AF125" s="471"/>
      <c r="AG125" s="29"/>
      <c r="AH125" s="29"/>
      <c r="AI125" s="29"/>
      <c r="AJ125" s="29"/>
      <c r="AK125" s="29"/>
      <c r="AL125" s="29">
        <v>16</v>
      </c>
      <c r="AM125" s="376" t="str">
        <f t="shared" si="109"/>
        <v xml:space="preserve"> </v>
      </c>
      <c r="AN125" s="29"/>
      <c r="AO125" s="29"/>
      <c r="AP125" s="29"/>
      <c r="AQ125" s="29"/>
      <c r="AR125" s="29"/>
      <c r="AS125" s="29" t="s">
        <v>1565</v>
      </c>
      <c r="AT125" s="371" t="str">
        <f>IF($C$78=$AH$4,$G$78," ")</f>
        <v xml:space="preserve"> </v>
      </c>
      <c r="AU125" s="371">
        <f t="shared" ref="AU125:BF125" si="113">IF($AT$125=$AT$99,AU99,IF($AT$125=$AT$100,AU100,IF($AT$125=$AT$101,AU101,IF($AT$125=$AT$102,AU102,IF($AT$125=$AT$103,AU103,IF($AT$125=$AT$104,AU104,IF($AT$125=$AT$105,AU105,IF($AT$125=$AT$106,AU106,IF($AT$125=$AT$107,AU107,IF($AT$125=$AT$108,AU108,IF($AT$125=$AT$109,AU109,IF($AT$125=$AT$110,AU110,IF($AT$125=$AT$111,AU111,IF($AT$125=$AT$113,AU113,IF($AT$125=$AT$114,AU114,IF($AT$125=$AT$115,AU115,IF($AT$125=$AT$116,AU116,0)))))))))))))))))</f>
        <v>0</v>
      </c>
      <c r="AV125" s="371">
        <f t="shared" si="113"/>
        <v>0</v>
      </c>
      <c r="AW125" s="371">
        <f t="shared" si="113"/>
        <v>0</v>
      </c>
      <c r="AX125" s="371">
        <f t="shared" si="113"/>
        <v>0</v>
      </c>
      <c r="AY125" s="371">
        <f t="shared" si="113"/>
        <v>0</v>
      </c>
      <c r="AZ125" s="371">
        <f t="shared" si="113"/>
        <v>0</v>
      </c>
      <c r="BA125" s="371">
        <f t="shared" si="113"/>
        <v>0</v>
      </c>
      <c r="BB125" s="371">
        <f t="shared" si="113"/>
        <v>0</v>
      </c>
      <c r="BC125" s="371">
        <f t="shared" si="113"/>
        <v>0</v>
      </c>
      <c r="BD125" s="371">
        <f t="shared" si="113"/>
        <v>0</v>
      </c>
      <c r="BE125" s="371">
        <f t="shared" si="113"/>
        <v>0</v>
      </c>
      <c r="BF125" s="371">
        <f t="shared" si="113"/>
        <v>0</v>
      </c>
      <c r="BG125" s="233"/>
      <c r="BH125" s="233"/>
      <c r="BI125" s="408"/>
      <c r="BJ125" s="409"/>
      <c r="BK125" s="408"/>
      <c r="BL125" s="408"/>
      <c r="BM125" s="408"/>
      <c r="BN125" s="233"/>
      <c r="BO125" s="233"/>
      <c r="BP125" s="233"/>
      <c r="BQ125" s="233"/>
      <c r="BR125" s="233"/>
      <c r="BS125" s="233"/>
      <c r="BT125" s="233"/>
      <c r="BU125" s="233"/>
      <c r="BV125" s="233"/>
      <c r="BW125" s="233"/>
      <c r="BX125" s="233"/>
      <c r="BY125" s="233"/>
      <c r="BZ125" s="233"/>
      <c r="CG125" s="233"/>
      <c r="CH125" s="233"/>
      <c r="CI125" s="233"/>
      <c r="CJ125" s="233"/>
      <c r="CK125" s="233"/>
      <c r="CL125" s="233"/>
      <c r="CM125" s="233"/>
      <c r="CN125" s="233"/>
      <c r="CO125" s="233"/>
      <c r="CP125" s="233"/>
      <c r="CQ125" s="233"/>
      <c r="CR125" s="233"/>
      <c r="CS125" s="233"/>
      <c r="CT125" s="233"/>
      <c r="CU125" s="233"/>
      <c r="CV125" s="233"/>
      <c r="CW125" s="233"/>
      <c r="CX125" s="233"/>
      <c r="CY125" s="233"/>
      <c r="CZ125" s="233"/>
      <c r="DA125" s="233"/>
      <c r="DB125" s="233"/>
      <c r="DC125" s="233"/>
      <c r="DD125" s="233"/>
      <c r="DE125" s="29"/>
      <c r="DF125" s="29"/>
      <c r="DG125" s="29"/>
      <c r="DH125" s="29"/>
      <c r="DI125" s="29"/>
      <c r="DJ125" s="252"/>
      <c r="DK125" s="252"/>
      <c r="DL125" s="252"/>
      <c r="DM125" s="252"/>
      <c r="DN125" s="252"/>
      <c r="DO125" s="252"/>
      <c r="DP125" s="252"/>
      <c r="DQ125" s="252"/>
      <c r="DR125" s="29"/>
      <c r="DS125" s="29"/>
      <c r="DT125" s="29"/>
      <c r="DU125" s="29"/>
      <c r="DV125" s="29"/>
      <c r="DW125" s="29"/>
      <c r="DX125" s="282" t="s">
        <v>1348</v>
      </c>
      <c r="DY125" s="320"/>
      <c r="DZ125" s="320" t="s">
        <v>444</v>
      </c>
      <c r="EA125" s="29"/>
      <c r="EB125" s="428"/>
      <c r="EC125" s="428"/>
      <c r="ED125" s="428"/>
      <c r="EE125" s="428"/>
      <c r="EF125" s="428"/>
      <c r="EG125" s="428"/>
      <c r="EH125" s="428"/>
      <c r="EI125" s="428"/>
      <c r="EJ125" s="428"/>
      <c r="EK125" s="428"/>
      <c r="EL125" s="428"/>
      <c r="EM125" s="428"/>
      <c r="EN125" s="29"/>
      <c r="EO125" s="29"/>
      <c r="EP125" s="29"/>
      <c r="EQ125" s="29"/>
      <c r="ER125" s="29"/>
      <c r="ES125" s="29"/>
      <c r="ET125" s="29"/>
      <c r="EU125" s="29"/>
      <c r="EV125" s="30"/>
      <c r="EW125" s="30"/>
      <c r="EX125" s="30"/>
      <c r="EY125" s="30"/>
      <c r="EZ125" s="30"/>
      <c r="FA125" s="30"/>
      <c r="FB125" s="30"/>
      <c r="FC125" s="30"/>
      <c r="FD125" s="30"/>
      <c r="FE125" s="30"/>
      <c r="FF125" s="30"/>
      <c r="FG125" s="30"/>
      <c r="FH125" s="30"/>
      <c r="FI125" s="30"/>
      <c r="FJ125" s="30"/>
      <c r="FK125" s="30"/>
      <c r="FL125" s="30"/>
    </row>
    <row r="126" spans="1:168" ht="15.9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29"/>
      <c r="AH126" s="29"/>
      <c r="AI126" s="29"/>
      <c r="AJ126" s="29"/>
      <c r="AK126" s="29"/>
      <c r="AL126" s="29">
        <v>17</v>
      </c>
      <c r="AM126" s="376" t="str">
        <f t="shared" si="109"/>
        <v xml:space="preserve"> </v>
      </c>
      <c r="AN126" s="29"/>
      <c r="AO126" s="29"/>
      <c r="AP126" s="29"/>
      <c r="AQ126" s="29"/>
      <c r="AR126" s="29"/>
      <c r="AS126" s="29" t="s">
        <v>1566</v>
      </c>
      <c r="AT126" s="371" t="str">
        <f>IF($C$90=$AH$4,$G$90," ")</f>
        <v xml:space="preserve"> </v>
      </c>
      <c r="AU126" s="371">
        <f t="shared" ref="AU126:BF126" si="114">IF($AT$126=$AT$99,AU99,IF($AT$126=$AT$100,AU100,IF($AT$126=$AT$101,AU101,IF($AT$126=$AT$102,AU102,IF($AT$126=$AT$103,AU103,IF($AT$126=$AT$104,AU104,IF($AT$126=$AT$105,AU105,IF($AT$126=$AT$106,AU106,IF($AT$126=$AT$107,AU107,IF($AT$126=$AT$108,AU108,IF($AT$126=$AT$109,AU109,IF($AT$126=$AT$110,AU110,IF($AT$126=$AT$111,AU111,IF($AT$126=$AT$113,AU113,IF($AT$126=$AT$114,AU114,IF($AT$126=$AT$115,AU115,IF($AT$126=$AT$116,AU116,0)))))))))))))))))</f>
        <v>0</v>
      </c>
      <c r="AV126" s="371">
        <f t="shared" si="114"/>
        <v>0</v>
      </c>
      <c r="AW126" s="371">
        <f t="shared" si="114"/>
        <v>0</v>
      </c>
      <c r="AX126" s="371">
        <f t="shared" si="114"/>
        <v>0</v>
      </c>
      <c r="AY126" s="371">
        <f t="shared" si="114"/>
        <v>0</v>
      </c>
      <c r="AZ126" s="371">
        <f t="shared" si="114"/>
        <v>0</v>
      </c>
      <c r="BA126" s="371">
        <f t="shared" si="114"/>
        <v>0</v>
      </c>
      <c r="BB126" s="371">
        <f t="shared" si="114"/>
        <v>0</v>
      </c>
      <c r="BC126" s="371">
        <f t="shared" si="114"/>
        <v>0</v>
      </c>
      <c r="BD126" s="371">
        <f t="shared" si="114"/>
        <v>0</v>
      </c>
      <c r="BE126" s="371">
        <f t="shared" si="114"/>
        <v>0</v>
      </c>
      <c r="BF126" s="371">
        <f t="shared" si="114"/>
        <v>0</v>
      </c>
      <c r="BG126" s="233"/>
      <c r="BH126" s="233"/>
      <c r="BI126" s="408"/>
      <c r="BJ126" s="409"/>
      <c r="BK126" s="408"/>
      <c r="BL126" s="408"/>
      <c r="BM126" s="408"/>
      <c r="BN126" s="233"/>
      <c r="BO126" s="233"/>
      <c r="BP126" s="233"/>
      <c r="BQ126" s="233"/>
      <c r="BR126" s="233"/>
      <c r="BS126" s="233"/>
      <c r="BT126" s="233"/>
      <c r="BU126" s="233"/>
      <c r="BV126" s="233"/>
      <c r="BW126" s="233"/>
      <c r="BX126" s="233"/>
      <c r="BY126" s="233"/>
      <c r="BZ126" s="233"/>
      <c r="CG126" s="233"/>
      <c r="CH126" s="233"/>
      <c r="CI126" s="233"/>
      <c r="CJ126" s="233"/>
      <c r="CK126" s="233"/>
      <c r="CL126" s="233"/>
      <c r="CM126" s="233"/>
      <c r="CN126" s="233"/>
      <c r="CO126" s="233"/>
      <c r="CP126" s="233"/>
      <c r="CQ126" s="233"/>
      <c r="CR126" s="233"/>
      <c r="CS126" s="233"/>
      <c r="CT126" s="233"/>
      <c r="CU126" s="233"/>
      <c r="CV126" s="233"/>
      <c r="CW126" s="233"/>
      <c r="CX126" s="233"/>
      <c r="CY126" s="233"/>
      <c r="CZ126" s="233"/>
      <c r="DA126" s="233"/>
      <c r="DB126" s="233"/>
      <c r="DC126" s="233"/>
      <c r="DD126" s="233"/>
      <c r="DE126" s="29"/>
      <c r="DF126" s="29"/>
      <c r="DG126" s="29"/>
      <c r="DH126" s="29"/>
      <c r="DI126" s="29"/>
      <c r="DJ126" s="252"/>
      <c r="DK126" s="252"/>
      <c r="DL126" s="252"/>
      <c r="DM126" s="252"/>
      <c r="DN126" s="252"/>
      <c r="DO126" s="252"/>
      <c r="DP126" s="252"/>
      <c r="DQ126" s="252"/>
      <c r="DR126" s="29"/>
      <c r="DS126" s="29"/>
      <c r="DT126" s="29"/>
      <c r="DU126" s="29"/>
      <c r="DV126" s="29"/>
      <c r="DW126" s="29"/>
      <c r="DX126" s="282" t="s">
        <v>1349</v>
      </c>
      <c r="DY126" s="316" t="s">
        <v>1343</v>
      </c>
      <c r="DZ126" s="316" t="s">
        <v>1310</v>
      </c>
      <c r="EA126" s="29"/>
      <c r="EB126" s="428"/>
      <c r="EC126" s="428"/>
      <c r="ED126" s="428"/>
      <c r="EE126" s="428"/>
      <c r="EF126" s="428"/>
      <c r="EG126" s="428"/>
      <c r="EH126" s="428"/>
      <c r="EI126" s="428"/>
      <c r="EJ126" s="428"/>
      <c r="EK126" s="428"/>
      <c r="EL126" s="428"/>
      <c r="EM126" s="428"/>
      <c r="EN126" s="29"/>
      <c r="EO126" s="29"/>
      <c r="EP126" s="29"/>
      <c r="EQ126" s="29"/>
      <c r="ER126" s="29"/>
      <c r="ES126" s="29"/>
      <c r="ET126" s="29"/>
      <c r="EU126" s="29"/>
      <c r="EV126" s="30"/>
      <c r="EW126" s="30"/>
      <c r="EX126" s="30"/>
      <c r="EY126" s="30"/>
      <c r="EZ126" s="30"/>
      <c r="FA126" s="30"/>
      <c r="FB126" s="30"/>
      <c r="FC126" s="30"/>
      <c r="FD126" s="30"/>
      <c r="FE126" s="30"/>
      <c r="FF126" s="30"/>
      <c r="FG126" s="30"/>
      <c r="FH126" s="30"/>
      <c r="FI126" s="30"/>
      <c r="FJ126" s="30"/>
      <c r="FK126" s="30"/>
      <c r="FL126" s="30"/>
    </row>
    <row r="127" spans="1:168" ht="17.2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29"/>
      <c r="AH127" s="29"/>
      <c r="AI127" s="29"/>
      <c r="AJ127" s="29"/>
      <c r="AK127" s="29"/>
      <c r="AL127" s="29">
        <v>18</v>
      </c>
      <c r="AM127" s="376" t="str">
        <f t="shared" si="109"/>
        <v xml:space="preserve"> </v>
      </c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33"/>
      <c r="BH127" s="233"/>
      <c r="BI127" s="408"/>
      <c r="BJ127" s="409"/>
      <c r="BK127" s="408"/>
      <c r="BL127" s="408"/>
      <c r="BM127" s="408"/>
      <c r="BN127" s="233"/>
      <c r="BO127" s="233"/>
      <c r="BP127" s="233"/>
      <c r="BQ127" s="233"/>
      <c r="BR127" s="233"/>
      <c r="BS127" s="233"/>
      <c r="BT127" s="233"/>
      <c r="BU127" s="233"/>
      <c r="BV127" s="233"/>
      <c r="BW127" s="233"/>
      <c r="BX127" s="233"/>
      <c r="BY127" s="233"/>
      <c r="BZ127" s="233"/>
      <c r="CG127" s="233"/>
      <c r="CH127" s="233"/>
      <c r="CI127" s="233"/>
      <c r="CJ127" s="233"/>
      <c r="CK127" s="233"/>
      <c r="CL127" s="233"/>
      <c r="CM127" s="233"/>
      <c r="CN127" s="233"/>
      <c r="CO127" s="233"/>
      <c r="CP127" s="233"/>
      <c r="CQ127" s="233"/>
      <c r="CR127" s="233"/>
      <c r="CS127" s="233"/>
      <c r="CT127" s="233"/>
      <c r="CU127" s="233"/>
      <c r="CV127" s="233"/>
      <c r="CW127" s="233"/>
      <c r="CX127" s="233"/>
      <c r="CY127" s="233"/>
      <c r="CZ127" s="233"/>
      <c r="DA127" s="233"/>
      <c r="DB127" s="233"/>
      <c r="DC127" s="233"/>
      <c r="DD127" s="233"/>
      <c r="DE127" s="29"/>
      <c r="DF127" s="29"/>
      <c r="DG127" s="29"/>
      <c r="DH127" s="29"/>
      <c r="DI127" s="29"/>
      <c r="DJ127" s="252"/>
      <c r="DK127" s="252"/>
      <c r="DL127" s="252"/>
      <c r="DM127" s="252"/>
      <c r="DN127" s="252"/>
      <c r="DO127" s="252"/>
      <c r="DP127" s="252"/>
      <c r="DQ127" s="252"/>
      <c r="DR127" s="29"/>
      <c r="DS127" s="29"/>
      <c r="DT127" s="29"/>
      <c r="DU127" s="29"/>
      <c r="DV127" s="29"/>
      <c r="DW127" s="29"/>
      <c r="DX127" s="278" t="s">
        <v>1350</v>
      </c>
      <c r="DY127" s="315" t="s">
        <v>1344</v>
      </c>
      <c r="DZ127" s="315" t="s">
        <v>1311</v>
      </c>
      <c r="EA127" s="29"/>
      <c r="EB127" s="428"/>
      <c r="EC127" s="428"/>
      <c r="ED127" s="428"/>
      <c r="EE127" s="428"/>
      <c r="EF127" s="428"/>
      <c r="EG127" s="428"/>
      <c r="EH127" s="428"/>
      <c r="EI127" s="428"/>
      <c r="EJ127" s="428"/>
      <c r="EK127" s="428"/>
      <c r="EL127" s="428"/>
      <c r="EM127" s="428"/>
      <c r="EN127" s="29"/>
      <c r="EO127" s="29"/>
      <c r="EP127" s="29"/>
      <c r="EQ127" s="29"/>
      <c r="ER127" s="29"/>
      <c r="ES127" s="29"/>
      <c r="ET127" s="29"/>
      <c r="EU127" s="29"/>
      <c r="EV127" s="30"/>
      <c r="EW127" s="30"/>
      <c r="EX127" s="30"/>
      <c r="EY127" s="30"/>
      <c r="EZ127" s="30"/>
      <c r="FA127" s="30"/>
      <c r="FB127" s="30"/>
      <c r="FC127" s="30"/>
      <c r="FD127" s="30"/>
      <c r="FE127" s="30"/>
      <c r="FF127" s="30"/>
      <c r="FG127" s="30"/>
      <c r="FH127" s="30"/>
      <c r="FI127" s="30"/>
      <c r="FJ127" s="30"/>
      <c r="FK127" s="30"/>
      <c r="FL127" s="30"/>
    </row>
    <row r="128" spans="1:168" ht="17.25" customHeight="1" thickBot="1" x14ac:dyDescent="0.3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29"/>
      <c r="AH128" s="29"/>
      <c r="AI128" s="29"/>
      <c r="AJ128" s="29"/>
      <c r="AK128" s="29"/>
      <c r="AL128" s="29">
        <v>19</v>
      </c>
      <c r="AM128" s="376" t="str">
        <f t="shared" si="109"/>
        <v xml:space="preserve"> </v>
      </c>
      <c r="AN128" s="29"/>
      <c r="AO128" s="29"/>
      <c r="AP128" s="29"/>
      <c r="AQ128" s="29"/>
      <c r="AR128" s="29"/>
      <c r="AS128" s="233"/>
      <c r="AT128" s="375" t="s">
        <v>1536</v>
      </c>
      <c r="AU128" s="490" t="s">
        <v>467</v>
      </c>
      <c r="AV128" s="490"/>
      <c r="AW128" s="490" t="s">
        <v>1544</v>
      </c>
      <c r="AX128" s="490"/>
      <c r="AY128" s="375"/>
      <c r="AZ128" s="490" t="s">
        <v>1112</v>
      </c>
      <c r="BA128" s="490"/>
      <c r="BB128" s="375"/>
      <c r="BC128" s="491" t="s">
        <v>794</v>
      </c>
      <c r="BD128" s="375"/>
      <c r="BE128" s="490" t="s">
        <v>1001</v>
      </c>
      <c r="BF128" s="490"/>
      <c r="BG128" s="233"/>
      <c r="BH128" s="233"/>
      <c r="BI128" s="408"/>
      <c r="BJ128" s="409"/>
      <c r="BK128" s="408"/>
      <c r="BL128" s="408"/>
      <c r="BM128" s="408"/>
      <c r="BN128" s="233"/>
      <c r="BO128" s="233"/>
      <c r="BP128" s="233"/>
      <c r="BQ128" s="233"/>
      <c r="BR128" s="233"/>
      <c r="BS128" s="233"/>
      <c r="BT128" s="233"/>
      <c r="BU128" s="233"/>
      <c r="BV128" s="233"/>
      <c r="BW128" s="233"/>
      <c r="BX128" s="233"/>
      <c r="BY128" s="233"/>
      <c r="BZ128" s="233"/>
      <c r="CG128" s="233"/>
      <c r="CH128" s="233"/>
      <c r="CI128" s="233"/>
      <c r="CJ128" s="233"/>
      <c r="CK128" s="233"/>
      <c r="CL128" s="233"/>
      <c r="CM128" s="233"/>
      <c r="CN128" s="233"/>
      <c r="CO128" s="233"/>
      <c r="CP128" s="233"/>
      <c r="CQ128" s="233"/>
      <c r="CR128" s="233"/>
      <c r="CS128" s="233"/>
      <c r="CT128" s="233"/>
      <c r="CU128" s="233"/>
      <c r="CV128" s="233"/>
      <c r="CW128" s="233"/>
      <c r="CX128" s="233"/>
      <c r="CY128" s="233"/>
      <c r="CZ128" s="233"/>
      <c r="DA128" s="233"/>
      <c r="DB128" s="233"/>
      <c r="DC128" s="233"/>
      <c r="DD128" s="233"/>
      <c r="DE128" s="29"/>
      <c r="DF128" s="29"/>
      <c r="DG128" s="29"/>
      <c r="DH128" s="29"/>
      <c r="DI128" s="29"/>
      <c r="DJ128" s="252"/>
      <c r="DK128" s="252"/>
      <c r="DL128" s="252"/>
      <c r="DM128" s="252"/>
      <c r="DN128" s="252"/>
      <c r="DO128" s="252"/>
      <c r="DP128" s="252"/>
      <c r="DQ128" s="252"/>
      <c r="DR128" s="29"/>
      <c r="DS128" s="29"/>
      <c r="DT128" s="29"/>
      <c r="DU128" s="29"/>
      <c r="DV128" s="29"/>
      <c r="DW128" s="29"/>
      <c r="DX128" s="323" t="s">
        <v>1351</v>
      </c>
      <c r="DY128" s="319" t="s">
        <v>1345</v>
      </c>
      <c r="DZ128" s="319" t="s">
        <v>1312</v>
      </c>
      <c r="EA128" s="29"/>
      <c r="EB128" s="428"/>
      <c r="EC128" s="428"/>
      <c r="ED128" s="428"/>
      <c r="EE128" s="428"/>
      <c r="EF128" s="428"/>
      <c r="EG128" s="428"/>
      <c r="EH128" s="428"/>
      <c r="EI128" s="428"/>
      <c r="EJ128" s="428"/>
      <c r="EK128" s="428"/>
      <c r="EL128" s="428"/>
      <c r="EM128" s="428"/>
      <c r="EN128" s="29"/>
      <c r="EO128" s="29"/>
      <c r="EP128" s="29"/>
      <c r="EQ128" s="29"/>
      <c r="ER128" s="29"/>
      <c r="ES128" s="29"/>
      <c r="ET128" s="29"/>
      <c r="EU128" s="29"/>
      <c r="EV128" s="30"/>
      <c r="EW128" s="30"/>
      <c r="EX128" s="30"/>
      <c r="EY128" s="30"/>
      <c r="EZ128" s="30"/>
      <c r="FA128" s="30"/>
      <c r="FB128" s="30"/>
      <c r="FC128" s="30"/>
      <c r="FD128" s="30"/>
      <c r="FE128" s="30"/>
      <c r="FF128" s="30"/>
      <c r="FG128" s="30"/>
      <c r="FH128" s="30"/>
      <c r="FI128" s="30"/>
      <c r="FJ128" s="30"/>
      <c r="FK128" s="30"/>
      <c r="FL128" s="30"/>
    </row>
    <row r="129" spans="1:168" ht="17.25" customHeight="1" thickBot="1" x14ac:dyDescent="0.3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29"/>
      <c r="AH129" s="29"/>
      <c r="AI129" s="29"/>
      <c r="AJ129" s="29"/>
      <c r="AK129" s="29"/>
      <c r="AL129" s="29">
        <v>20</v>
      </c>
      <c r="AM129" s="376" t="str">
        <f t="shared" si="109"/>
        <v xml:space="preserve"> </v>
      </c>
      <c r="AN129" s="29"/>
      <c r="AO129" s="29"/>
      <c r="AP129" s="29"/>
      <c r="AQ129" s="29"/>
      <c r="AR129" s="29"/>
      <c r="AS129" s="233"/>
      <c r="AT129" s="364" t="s">
        <v>890</v>
      </c>
      <c r="AU129" s="364" t="s">
        <v>1207</v>
      </c>
      <c r="AV129" s="364" t="s">
        <v>167</v>
      </c>
      <c r="AW129" s="364" t="s">
        <v>1547</v>
      </c>
      <c r="AX129" s="364" t="s">
        <v>1548</v>
      </c>
      <c r="AY129" s="364" t="s">
        <v>1002</v>
      </c>
      <c r="AZ129" s="364" t="s">
        <v>1549</v>
      </c>
      <c r="BA129" s="364" t="s">
        <v>1550</v>
      </c>
      <c r="BB129" s="364" t="s">
        <v>190</v>
      </c>
      <c r="BC129" s="492"/>
      <c r="BD129" s="364" t="s">
        <v>692</v>
      </c>
      <c r="BE129" s="364" t="s">
        <v>1207</v>
      </c>
      <c r="BF129" s="364" t="s">
        <v>167</v>
      </c>
      <c r="BG129" s="233"/>
      <c r="BH129" s="233"/>
      <c r="BI129" s="408"/>
      <c r="BJ129" s="409"/>
      <c r="BK129" s="408"/>
      <c r="BL129" s="408"/>
      <c r="BM129" s="408"/>
      <c r="BN129" s="233"/>
      <c r="BO129" s="233"/>
      <c r="BP129" s="233"/>
      <c r="BQ129" s="233"/>
      <c r="BR129" s="233"/>
      <c r="BS129" s="233"/>
      <c r="BT129" s="233"/>
      <c r="BU129" s="233"/>
      <c r="BV129" s="233"/>
      <c r="BW129" s="233"/>
      <c r="BX129" s="233"/>
      <c r="BY129" s="233"/>
      <c r="BZ129" s="233"/>
      <c r="CG129" s="233"/>
      <c r="CH129" s="233"/>
      <c r="CI129" s="233"/>
      <c r="CJ129" s="233"/>
      <c r="CK129" s="233"/>
      <c r="CL129" s="233"/>
      <c r="CM129" s="233"/>
      <c r="CN129" s="233"/>
      <c r="CO129" s="233"/>
      <c r="CP129" s="233"/>
      <c r="CQ129" s="233"/>
      <c r="CR129" s="233"/>
      <c r="CS129" s="233"/>
      <c r="CT129" s="233"/>
      <c r="CU129" s="233"/>
      <c r="CV129" s="233"/>
      <c r="CW129" s="233"/>
      <c r="CX129" s="233"/>
      <c r="CY129" s="233"/>
      <c r="CZ129" s="233"/>
      <c r="DA129" s="233"/>
      <c r="DB129" s="233"/>
      <c r="DC129" s="233"/>
      <c r="DD129" s="233"/>
      <c r="DE129" s="29"/>
      <c r="DF129" s="29"/>
      <c r="DG129" s="29"/>
      <c r="DH129" s="29"/>
      <c r="DI129" s="29"/>
      <c r="DJ129" s="252"/>
      <c r="DK129" s="252"/>
      <c r="DL129" s="252"/>
      <c r="DM129" s="252"/>
      <c r="DN129" s="252"/>
      <c r="DO129" s="252"/>
      <c r="DP129" s="252"/>
      <c r="DQ129" s="252"/>
      <c r="DR129" s="29"/>
      <c r="DS129" s="29"/>
      <c r="DT129" s="29"/>
      <c r="DU129" s="29"/>
      <c r="DV129" s="29"/>
      <c r="DW129" s="29"/>
      <c r="DX129" s="29"/>
      <c r="DY129" s="318" t="s">
        <v>1346</v>
      </c>
      <c r="DZ129" s="318" t="s">
        <v>1313</v>
      </c>
      <c r="EA129" s="29"/>
      <c r="EB129" s="428"/>
      <c r="EC129" s="428"/>
      <c r="ED129" s="428"/>
      <c r="EE129" s="428"/>
      <c r="EF129" s="428"/>
      <c r="EG129" s="428"/>
      <c r="EH129" s="428"/>
      <c r="EI129" s="428"/>
      <c r="EJ129" s="428"/>
      <c r="EK129" s="428"/>
      <c r="EL129" s="428"/>
      <c r="EM129" s="428"/>
      <c r="EN129" s="29"/>
      <c r="EO129" s="29"/>
      <c r="EP129" s="29"/>
      <c r="EQ129" s="29"/>
      <c r="ER129" s="29"/>
      <c r="ES129" s="29"/>
      <c r="ET129" s="29"/>
      <c r="EU129" s="29"/>
      <c r="EV129" s="30"/>
      <c r="EW129" s="30"/>
      <c r="EX129" s="30"/>
      <c r="EY129" s="30"/>
      <c r="EZ129" s="30"/>
      <c r="FA129" s="30"/>
      <c r="FB129" s="30"/>
      <c r="FC129" s="30"/>
      <c r="FD129" s="30"/>
      <c r="FE129" s="30"/>
      <c r="FF129" s="30"/>
      <c r="FG129" s="30"/>
      <c r="FH129" s="30"/>
      <c r="FI129" s="30"/>
      <c r="FJ129" s="30"/>
      <c r="FK129" s="30"/>
      <c r="FL129" s="30"/>
    </row>
    <row r="130" spans="1:168" ht="17.2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29"/>
      <c r="AH130" s="29"/>
      <c r="AI130" s="29"/>
      <c r="AJ130" s="29"/>
      <c r="AK130" s="29"/>
      <c r="AL130" s="29">
        <v>21</v>
      </c>
      <c r="AM130" s="376" t="str">
        <f t="shared" si="109"/>
        <v xml:space="preserve"> </v>
      </c>
      <c r="AN130" s="29"/>
      <c r="AO130" s="29"/>
      <c r="AP130" s="29"/>
      <c r="AQ130" s="29"/>
      <c r="AR130" s="29"/>
      <c r="AS130" s="29">
        <v>1</v>
      </c>
      <c r="AT130" s="234" t="s">
        <v>870</v>
      </c>
      <c r="AU130" s="234" t="s">
        <v>1558</v>
      </c>
      <c r="AV130" s="234" t="s">
        <v>477</v>
      </c>
      <c r="AW130" s="234">
        <v>20</v>
      </c>
      <c r="AX130" s="234">
        <v>4</v>
      </c>
      <c r="AY130" s="234">
        <v>16</v>
      </c>
      <c r="AZ130" s="234" t="s">
        <v>1551</v>
      </c>
      <c r="BA130" s="234">
        <v>1</v>
      </c>
      <c r="BB130" s="234">
        <v>-2</v>
      </c>
      <c r="BC130" s="234">
        <v>3</v>
      </c>
      <c r="BD130" s="234">
        <v>300</v>
      </c>
      <c r="BE130" s="375">
        <f t="shared" ref="BE130:BE148" si="115">IF(BF130&lt;=4,BF130-1,IF(OR(BF130=5,BF130=6,BF130=6.5),BF130-1.5,IF(OR(BF130=7,BF130=8),BF130-2,IF(OR(BF130=9,BF130=10),BF130-2.5,IF(OR(BF130=11,BF130=12,BF130=13),BF130-3,IF(OR(BF130=14,BF130=15,BF130=16),BF130-4,IF(OR(BF130=17,BF130=18),BF130-5,IF(BF130&gt;=19,BF130-6,0))))))))</f>
        <v>19</v>
      </c>
      <c r="BF130" s="234">
        <v>25</v>
      </c>
      <c r="BG130" s="233"/>
      <c r="BH130" s="233"/>
      <c r="BI130" s="408"/>
      <c r="BJ130" s="409"/>
      <c r="BK130" s="408"/>
      <c r="BL130" s="408"/>
      <c r="BM130" s="408"/>
      <c r="BN130" s="233"/>
      <c r="BO130" s="233"/>
      <c r="BP130" s="233"/>
      <c r="BQ130" s="233"/>
      <c r="BR130" s="233"/>
      <c r="BS130" s="233"/>
      <c r="BT130" s="233"/>
      <c r="BU130" s="233"/>
      <c r="BV130" s="233"/>
      <c r="BW130" s="233"/>
      <c r="BX130" s="233"/>
      <c r="BY130" s="233"/>
      <c r="BZ130" s="233"/>
      <c r="CG130" s="233"/>
      <c r="CH130" s="233"/>
      <c r="CI130" s="233"/>
      <c r="CJ130" s="233"/>
      <c r="CK130" s="233"/>
      <c r="CL130" s="233"/>
      <c r="CM130" s="233"/>
      <c r="CN130" s="233"/>
      <c r="CO130" s="233"/>
      <c r="CP130" s="233"/>
      <c r="CQ130" s="233"/>
      <c r="CR130" s="233"/>
      <c r="CS130" s="233"/>
      <c r="CT130" s="233"/>
      <c r="CU130" s="233"/>
      <c r="CV130" s="233"/>
      <c r="CW130" s="233"/>
      <c r="CX130" s="233"/>
      <c r="CY130" s="233"/>
      <c r="CZ130" s="233"/>
      <c r="DA130" s="233"/>
      <c r="DB130" s="233"/>
      <c r="DC130" s="233"/>
      <c r="DD130" s="233"/>
      <c r="DE130" s="29"/>
      <c r="DF130" s="29"/>
      <c r="DG130" s="29"/>
      <c r="DH130" s="29"/>
      <c r="DI130" s="29"/>
      <c r="DJ130" s="252"/>
      <c r="DK130" s="252"/>
      <c r="DL130" s="252"/>
      <c r="DM130" s="252"/>
      <c r="DN130" s="252"/>
      <c r="DO130" s="252"/>
      <c r="DP130" s="252"/>
      <c r="DQ130" s="252"/>
      <c r="DR130" s="29"/>
      <c r="DS130" s="29"/>
      <c r="DT130" s="29"/>
      <c r="DU130" s="29"/>
      <c r="DV130" s="29"/>
      <c r="DW130" s="29"/>
      <c r="DX130" s="29"/>
      <c r="DY130" s="319" t="s">
        <v>1347</v>
      </c>
      <c r="DZ130" s="319" t="s">
        <v>1314</v>
      </c>
      <c r="EA130" s="29"/>
      <c r="EB130" s="428"/>
      <c r="EC130" s="428"/>
      <c r="ED130" s="428"/>
      <c r="EE130" s="428"/>
      <c r="EF130" s="428"/>
      <c r="EG130" s="428"/>
      <c r="EH130" s="428"/>
      <c r="EI130" s="428"/>
      <c r="EJ130" s="428"/>
      <c r="EK130" s="428"/>
      <c r="EL130" s="428"/>
      <c r="EM130" s="428"/>
      <c r="EN130" s="29"/>
      <c r="EO130" s="29"/>
      <c r="EP130" s="29"/>
      <c r="EQ130" s="29"/>
      <c r="ER130" s="29"/>
      <c r="ES130" s="29"/>
      <c r="ET130" s="29"/>
      <c r="EU130" s="29"/>
      <c r="EV130" s="30"/>
      <c r="EW130" s="30"/>
      <c r="EX130" s="30"/>
      <c r="EY130" s="30"/>
      <c r="EZ130" s="30"/>
      <c r="FA130" s="30"/>
      <c r="FB130" s="30"/>
      <c r="FC130" s="30"/>
      <c r="FD130" s="30"/>
      <c r="FE130" s="30"/>
      <c r="FF130" s="30"/>
      <c r="FG130" s="30"/>
      <c r="FH130" s="30"/>
      <c r="FI130" s="30"/>
      <c r="FJ130" s="30"/>
      <c r="FK130" s="30"/>
      <c r="FL130" s="30"/>
    </row>
    <row r="131" spans="1:168" ht="17.2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29"/>
      <c r="AH131" s="29"/>
      <c r="AI131" s="29"/>
      <c r="AJ131" s="29"/>
      <c r="AK131" s="29"/>
      <c r="AL131" s="29">
        <v>22</v>
      </c>
      <c r="AM131" s="376" t="str">
        <f t="shared" si="109"/>
        <v xml:space="preserve"> </v>
      </c>
      <c r="AN131" s="29"/>
      <c r="AO131" s="29"/>
      <c r="AP131" s="29"/>
      <c r="AQ131" s="29"/>
      <c r="AR131" s="29"/>
      <c r="AS131" s="29">
        <v>2</v>
      </c>
      <c r="AT131" s="234" t="s">
        <v>1204</v>
      </c>
      <c r="AU131" s="234" t="s">
        <v>801</v>
      </c>
      <c r="AV131" s="234" t="s">
        <v>510</v>
      </c>
      <c r="AW131" s="234">
        <v>20</v>
      </c>
      <c r="AX131" s="234">
        <v>2</v>
      </c>
      <c r="AY131" s="234">
        <v>14</v>
      </c>
      <c r="AZ131" s="234" t="s">
        <v>909</v>
      </c>
      <c r="BA131" s="234">
        <v>7</v>
      </c>
      <c r="BB131" s="234">
        <v>-4</v>
      </c>
      <c r="BC131" s="234">
        <v>35</v>
      </c>
      <c r="BD131" s="234">
        <v>70</v>
      </c>
      <c r="BE131" s="375">
        <f t="shared" si="115"/>
        <v>7.5</v>
      </c>
      <c r="BF131" s="234">
        <v>10</v>
      </c>
      <c r="BG131" s="233"/>
      <c r="BH131" s="233"/>
      <c r="BI131" s="408"/>
      <c r="BJ131" s="409"/>
      <c r="BK131" s="408"/>
      <c r="BL131" s="408"/>
      <c r="BM131" s="408"/>
      <c r="BN131" s="233"/>
      <c r="BO131" s="233"/>
      <c r="BP131" s="233"/>
      <c r="BQ131" s="233"/>
      <c r="BR131" s="233"/>
      <c r="BS131" s="233"/>
      <c r="BT131" s="233"/>
      <c r="BU131" s="233"/>
      <c r="BV131" s="233"/>
      <c r="BW131" s="233"/>
      <c r="BX131" s="233"/>
      <c r="BY131" s="233"/>
      <c r="BZ131" s="233"/>
      <c r="CG131" s="233"/>
      <c r="CH131" s="233"/>
      <c r="CI131" s="233"/>
      <c r="CJ131" s="233"/>
      <c r="CK131" s="233"/>
      <c r="CL131" s="233"/>
      <c r="CM131" s="233"/>
      <c r="CN131" s="233"/>
      <c r="CO131" s="233"/>
      <c r="CP131" s="233"/>
      <c r="CQ131" s="233"/>
      <c r="CR131" s="233"/>
      <c r="CS131" s="233"/>
      <c r="CT131" s="233"/>
      <c r="CU131" s="233"/>
      <c r="CV131" s="233"/>
      <c r="CW131" s="233"/>
      <c r="CX131" s="233"/>
      <c r="CY131" s="233"/>
      <c r="CZ131" s="233"/>
      <c r="DA131" s="233"/>
      <c r="DB131" s="233"/>
      <c r="DC131" s="233"/>
      <c r="DD131" s="233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318" t="s">
        <v>1348</v>
      </c>
      <c r="DZ131" s="318" t="s">
        <v>1315</v>
      </c>
      <c r="EA131" s="29"/>
      <c r="EB131" s="428"/>
      <c r="EC131" s="428"/>
      <c r="ED131" s="428"/>
      <c r="EE131" s="428"/>
      <c r="EF131" s="428"/>
      <c r="EG131" s="428"/>
      <c r="EH131" s="428"/>
      <c r="EI131" s="428"/>
      <c r="EJ131" s="428"/>
      <c r="EK131" s="428"/>
      <c r="EL131" s="428"/>
      <c r="EM131" s="428"/>
      <c r="EN131" s="29"/>
      <c r="EO131" s="29"/>
      <c r="EP131" s="29"/>
      <c r="EQ131" s="29"/>
      <c r="ER131" s="29"/>
      <c r="ES131" s="29"/>
      <c r="ET131" s="29"/>
      <c r="EU131" s="29"/>
      <c r="EV131" s="30"/>
      <c r="EW131" s="30"/>
      <c r="EX131" s="30"/>
      <c r="EY131" s="30"/>
      <c r="EZ131" s="30"/>
      <c r="FA131" s="30"/>
      <c r="FB131" s="30"/>
      <c r="FC131" s="30"/>
      <c r="FD131" s="30"/>
      <c r="FE131" s="30"/>
      <c r="FF131" s="30"/>
      <c r="FG131" s="30"/>
      <c r="FH131" s="30"/>
      <c r="FI131" s="30"/>
      <c r="FJ131" s="30"/>
      <c r="FK131" s="30"/>
      <c r="FL131" s="30"/>
    </row>
    <row r="132" spans="1:168" ht="17.2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29"/>
      <c r="AH132" s="29"/>
      <c r="AI132" s="29"/>
      <c r="AJ132" s="29"/>
      <c r="AK132" s="29"/>
      <c r="AL132" s="29">
        <v>23</v>
      </c>
      <c r="AM132" s="376" t="str">
        <f t="shared" si="109"/>
        <v xml:space="preserve"> </v>
      </c>
      <c r="AN132" s="29"/>
      <c r="AO132" s="29"/>
      <c r="AP132" s="29"/>
      <c r="AQ132" s="29"/>
      <c r="AR132" s="29"/>
      <c r="AS132" s="29">
        <v>3</v>
      </c>
      <c r="AT132" s="234" t="s">
        <v>869</v>
      </c>
      <c r="AU132" s="234" t="s">
        <v>1558</v>
      </c>
      <c r="AV132" s="234" t="s">
        <v>477</v>
      </c>
      <c r="AW132" s="234">
        <v>20</v>
      </c>
      <c r="AX132" s="234">
        <v>4</v>
      </c>
      <c r="AY132" s="234">
        <v>16</v>
      </c>
      <c r="AZ132" s="389" t="s">
        <v>908</v>
      </c>
      <c r="BA132" s="234">
        <v>1</v>
      </c>
      <c r="BB132" s="234">
        <v>0</v>
      </c>
      <c r="BC132" s="234">
        <v>1</v>
      </c>
      <c r="BD132" s="234">
        <v>200</v>
      </c>
      <c r="BE132" s="375">
        <f t="shared" si="115"/>
        <v>14</v>
      </c>
      <c r="BF132" s="234">
        <v>20</v>
      </c>
      <c r="BG132" s="233"/>
      <c r="BH132" s="233"/>
      <c r="BI132" s="408"/>
      <c r="BJ132" s="409"/>
      <c r="BK132" s="408"/>
      <c r="BL132" s="408"/>
      <c r="BM132" s="408"/>
      <c r="BN132" s="233"/>
      <c r="BO132" s="233"/>
      <c r="BP132" s="233"/>
      <c r="BQ132" s="233"/>
      <c r="BR132" s="233"/>
      <c r="BS132" s="233"/>
      <c r="BT132" s="233"/>
      <c r="BU132" s="233"/>
      <c r="BV132" s="233"/>
      <c r="BW132" s="233"/>
      <c r="BX132" s="233"/>
      <c r="BY132" s="233"/>
      <c r="BZ132" s="233"/>
      <c r="CG132" s="233"/>
      <c r="CH132" s="233"/>
      <c r="CI132" s="233"/>
      <c r="CJ132" s="233"/>
      <c r="CK132" s="233"/>
      <c r="CL132" s="233"/>
      <c r="CM132" s="233"/>
      <c r="CN132" s="233"/>
      <c r="CO132" s="233"/>
      <c r="CP132" s="233"/>
      <c r="CQ132" s="233"/>
      <c r="CR132" s="233"/>
      <c r="CS132" s="233"/>
      <c r="CT132" s="233"/>
      <c r="CU132" s="233"/>
      <c r="CV132" s="233"/>
      <c r="CW132" s="233"/>
      <c r="CX132" s="233"/>
      <c r="CY132" s="233"/>
      <c r="CZ132" s="233"/>
      <c r="DA132" s="233"/>
      <c r="DB132" s="233"/>
      <c r="DC132" s="233"/>
      <c r="DD132" s="233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321"/>
      <c r="DZ132" s="321" t="s">
        <v>1316</v>
      </c>
      <c r="EA132" s="29"/>
      <c r="EB132" s="428"/>
      <c r="EC132" s="428"/>
      <c r="ED132" s="428"/>
      <c r="EE132" s="428"/>
      <c r="EF132" s="428"/>
      <c r="EG132" s="428"/>
      <c r="EH132" s="428"/>
      <c r="EI132" s="428"/>
      <c r="EJ132" s="428"/>
      <c r="EK132" s="428"/>
      <c r="EL132" s="428"/>
      <c r="EM132" s="428"/>
      <c r="EN132" s="29"/>
      <c r="EO132" s="29"/>
      <c r="EP132" s="29"/>
      <c r="EQ132" s="29"/>
      <c r="ER132" s="29"/>
      <c r="ES132" s="29"/>
      <c r="ET132" s="29"/>
      <c r="EU132" s="29"/>
      <c r="EV132" s="30"/>
      <c r="EW132" s="30"/>
      <c r="EX132" s="30"/>
      <c r="EY132" s="30"/>
      <c r="EZ132" s="30"/>
      <c r="FA132" s="30"/>
      <c r="FB132" s="30"/>
      <c r="FC132" s="30"/>
      <c r="FD132" s="30"/>
      <c r="FE132" s="30"/>
      <c r="FF132" s="30"/>
      <c r="FG132" s="30"/>
      <c r="FH132" s="30"/>
      <c r="FI132" s="30"/>
      <c r="FJ132" s="30"/>
      <c r="FK132" s="30"/>
      <c r="FL132" s="30"/>
    </row>
    <row r="133" spans="1:168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>
        <v>4</v>
      </c>
      <c r="AT133" s="234" t="s">
        <v>868</v>
      </c>
      <c r="AU133" s="234" t="s">
        <v>1560</v>
      </c>
      <c r="AV133" s="234" t="s">
        <v>1559</v>
      </c>
      <c r="AW133" s="234">
        <v>20</v>
      </c>
      <c r="AX133" s="234">
        <v>3</v>
      </c>
      <c r="AY133" s="234">
        <v>15</v>
      </c>
      <c r="AZ133" s="389" t="s">
        <v>908</v>
      </c>
      <c r="BA133" s="234">
        <v>1</v>
      </c>
      <c r="BB133" s="234">
        <v>0</v>
      </c>
      <c r="BC133" s="234">
        <v>1</v>
      </c>
      <c r="BD133" s="234">
        <v>70</v>
      </c>
      <c r="BE133" s="375">
        <f t="shared" si="115"/>
        <v>13</v>
      </c>
      <c r="BF133" s="234">
        <v>18</v>
      </c>
      <c r="BG133" s="233"/>
      <c r="BH133" s="29"/>
      <c r="BI133" s="408"/>
      <c r="BJ133" s="409"/>
      <c r="BK133" s="408"/>
      <c r="BL133" s="408"/>
      <c r="BM133" s="408"/>
      <c r="BN133" s="233"/>
      <c r="BO133" s="233"/>
      <c r="BP133" s="233"/>
      <c r="BQ133" s="233"/>
      <c r="BR133" s="233"/>
      <c r="BS133" s="233"/>
      <c r="BT133" s="233"/>
      <c r="BU133" s="233"/>
      <c r="BV133" s="233"/>
      <c r="BW133" s="233"/>
      <c r="BX133" s="233"/>
      <c r="BY133" s="233"/>
      <c r="BZ133" s="233"/>
      <c r="CG133" s="233"/>
      <c r="CH133" s="233"/>
      <c r="CI133" s="233"/>
      <c r="CJ133" s="233"/>
      <c r="CK133" s="233"/>
      <c r="CL133" s="233"/>
      <c r="CM133" s="233"/>
      <c r="CN133" s="233"/>
      <c r="CO133" s="233"/>
      <c r="CP133" s="233"/>
      <c r="CQ133" s="233"/>
      <c r="CR133" s="233"/>
      <c r="CS133" s="233"/>
      <c r="CT133" s="233"/>
      <c r="CU133" s="233"/>
      <c r="CV133" s="233"/>
      <c r="CW133" s="233"/>
      <c r="CX133" s="233"/>
      <c r="CY133" s="233"/>
      <c r="CZ133" s="233"/>
      <c r="DA133" s="233"/>
      <c r="DB133" s="233"/>
      <c r="DC133" s="233"/>
      <c r="DD133" s="233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318" t="s">
        <v>1349</v>
      </c>
      <c r="DZ133" s="318" t="s">
        <v>1317</v>
      </c>
      <c r="EA133" s="29"/>
      <c r="EB133" s="428"/>
      <c r="EC133" s="428"/>
      <c r="ED133" s="428"/>
      <c r="EE133" s="428"/>
      <c r="EF133" s="428"/>
      <c r="EG133" s="428"/>
      <c r="EH133" s="428"/>
      <c r="EI133" s="428"/>
      <c r="EJ133" s="428"/>
      <c r="EK133" s="428"/>
      <c r="EL133" s="428"/>
      <c r="EM133" s="428"/>
      <c r="EN133" s="29"/>
      <c r="EO133" s="29"/>
      <c r="EP133" s="29"/>
      <c r="EQ133" s="29"/>
      <c r="ER133" s="29"/>
      <c r="ES133" s="29"/>
      <c r="ET133" s="29"/>
      <c r="EU133" s="29"/>
      <c r="EV133" s="30"/>
      <c r="EW133" s="30"/>
      <c r="EX133" s="30"/>
      <c r="EY133" s="30"/>
      <c r="EZ133" s="30"/>
      <c r="FA133" s="30"/>
      <c r="FB133" s="30"/>
      <c r="FC133" s="30"/>
      <c r="FD133" s="30"/>
      <c r="FE133" s="30"/>
      <c r="FF133" s="30"/>
      <c r="FG133" s="30"/>
      <c r="FH133" s="30"/>
      <c r="FI133" s="30"/>
      <c r="FJ133" s="30"/>
      <c r="FK133" s="30"/>
      <c r="FL133" s="30"/>
    </row>
    <row r="134" spans="1:168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>
        <v>5</v>
      </c>
      <c r="AT134" s="234" t="s">
        <v>838</v>
      </c>
      <c r="AU134" s="234" t="s">
        <v>475</v>
      </c>
      <c r="AV134" s="234" t="s">
        <v>654</v>
      </c>
      <c r="AW134" s="234">
        <v>20</v>
      </c>
      <c r="AX134" s="234">
        <v>2</v>
      </c>
      <c r="AY134" s="234">
        <v>15</v>
      </c>
      <c r="AZ134" s="234" t="s">
        <v>1551</v>
      </c>
      <c r="BA134" s="234">
        <v>1</v>
      </c>
      <c r="BB134" s="234">
        <v>-1</v>
      </c>
      <c r="BC134" s="234">
        <v>3</v>
      </c>
      <c r="BD134" s="234">
        <v>140</v>
      </c>
      <c r="BE134" s="375">
        <f t="shared" si="115"/>
        <v>13</v>
      </c>
      <c r="BF134" s="234">
        <v>18</v>
      </c>
      <c r="BG134" s="233"/>
      <c r="BH134" s="29"/>
      <c r="BI134" s="408"/>
      <c r="BJ134" s="409"/>
      <c r="BK134" s="408"/>
      <c r="BL134" s="408"/>
      <c r="BM134" s="408"/>
      <c r="BN134" s="233"/>
      <c r="BO134" s="233"/>
      <c r="BP134" s="233"/>
      <c r="BQ134" s="233"/>
      <c r="BR134" s="233"/>
      <c r="BS134" s="233"/>
      <c r="BT134" s="233"/>
      <c r="BU134" s="233"/>
      <c r="BV134" s="233"/>
      <c r="BW134" s="233"/>
      <c r="BX134" s="233"/>
      <c r="BY134" s="233"/>
      <c r="BZ134" s="233"/>
      <c r="CG134" s="233"/>
      <c r="CH134" s="233"/>
      <c r="CI134" s="233"/>
      <c r="CJ134" s="233"/>
      <c r="CK134" s="233"/>
      <c r="CL134" s="233"/>
      <c r="CM134" s="233"/>
      <c r="CN134" s="233"/>
      <c r="CO134" s="233"/>
      <c r="CP134" s="233"/>
      <c r="CQ134" s="233"/>
      <c r="CR134" s="233"/>
      <c r="CS134" s="233"/>
      <c r="CT134" s="233"/>
      <c r="CU134" s="233"/>
      <c r="CV134" s="233"/>
      <c r="CW134" s="233"/>
      <c r="CX134" s="233"/>
      <c r="CY134" s="233"/>
      <c r="CZ134" s="233"/>
      <c r="DA134" s="233"/>
      <c r="DB134" s="233"/>
      <c r="DC134" s="233"/>
      <c r="DD134" s="233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319" t="s">
        <v>1350</v>
      </c>
      <c r="DZ134" s="319" t="s">
        <v>1318</v>
      </c>
      <c r="EA134" s="29"/>
      <c r="EB134" s="428"/>
      <c r="EC134" s="428"/>
      <c r="ED134" s="428"/>
      <c r="EE134" s="428"/>
      <c r="EF134" s="428"/>
      <c r="EG134" s="428"/>
      <c r="EH134" s="428"/>
      <c r="EI134" s="428"/>
      <c r="EJ134" s="428"/>
      <c r="EK134" s="428"/>
      <c r="EL134" s="428"/>
      <c r="EM134" s="428"/>
      <c r="EN134" s="29"/>
      <c r="EO134" s="29"/>
      <c r="EP134" s="29"/>
      <c r="EQ134" s="29"/>
      <c r="ER134" s="29"/>
      <c r="ES134" s="29"/>
      <c r="ET134" s="29"/>
      <c r="EU134" s="29"/>
      <c r="EV134" s="30"/>
      <c r="EW134" s="30"/>
      <c r="EX134" s="30"/>
      <c r="EY134" s="30"/>
      <c r="EZ134" s="30"/>
      <c r="FA134" s="30"/>
      <c r="FB134" s="30"/>
      <c r="FC134" s="30"/>
      <c r="FD134" s="30"/>
      <c r="FE134" s="30"/>
      <c r="FF134" s="30"/>
      <c r="FG134" s="30"/>
      <c r="FH134" s="30"/>
      <c r="FI134" s="30"/>
      <c r="FJ134" s="30"/>
      <c r="FK134" s="30"/>
      <c r="FL134" s="30"/>
    </row>
    <row r="135" spans="1:168" ht="15.75" thickBot="1" x14ac:dyDescent="0.3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>
        <v>6</v>
      </c>
      <c r="AT135" s="234" t="s">
        <v>839</v>
      </c>
      <c r="AU135" s="234" t="s">
        <v>1561</v>
      </c>
      <c r="AV135" s="234" t="s">
        <v>1554</v>
      </c>
      <c r="AW135" s="234">
        <v>20</v>
      </c>
      <c r="AX135" s="234">
        <v>2</v>
      </c>
      <c r="AY135" s="234">
        <v>13</v>
      </c>
      <c r="AZ135" s="234" t="s">
        <v>1551</v>
      </c>
      <c r="BA135" s="234">
        <v>5</v>
      </c>
      <c r="BB135" s="234">
        <v>-2</v>
      </c>
      <c r="BC135" s="234">
        <v>15</v>
      </c>
      <c r="BD135" s="234">
        <v>130</v>
      </c>
      <c r="BE135" s="375">
        <f t="shared" si="115"/>
        <v>10</v>
      </c>
      <c r="BF135" s="234">
        <v>14</v>
      </c>
      <c r="BG135" s="233"/>
      <c r="BH135" s="29"/>
      <c r="BI135" s="408"/>
      <c r="BJ135" s="408"/>
      <c r="BK135" s="408"/>
      <c r="BL135" s="408"/>
      <c r="BM135" s="408"/>
      <c r="BN135" s="233"/>
      <c r="BO135" s="233"/>
      <c r="BP135" s="233"/>
      <c r="BQ135" s="233"/>
      <c r="BR135" s="233"/>
      <c r="BS135" s="233"/>
      <c r="BT135" s="233"/>
      <c r="BU135" s="233"/>
      <c r="BV135" s="233"/>
      <c r="BW135" s="233"/>
      <c r="BX135" s="233"/>
      <c r="BY135" s="233"/>
      <c r="BZ135" s="233"/>
      <c r="CG135" s="233"/>
      <c r="CH135" s="233"/>
      <c r="CI135" s="233"/>
      <c r="CJ135" s="233"/>
      <c r="CK135" s="233"/>
      <c r="CL135" s="233"/>
      <c r="CM135" s="233"/>
      <c r="CN135" s="233"/>
      <c r="CO135" s="233"/>
      <c r="CP135" s="233"/>
      <c r="CQ135" s="233"/>
      <c r="CR135" s="233"/>
      <c r="CS135" s="233"/>
      <c r="CT135" s="233"/>
      <c r="CU135" s="233"/>
      <c r="CV135" s="233"/>
      <c r="CW135" s="233"/>
      <c r="CX135" s="233"/>
      <c r="CY135" s="233"/>
      <c r="CZ135" s="233"/>
      <c r="DA135" s="233"/>
      <c r="DB135" s="233"/>
      <c r="DC135" s="233"/>
      <c r="DD135" s="233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323" t="s">
        <v>1351</v>
      </c>
      <c r="DZ135" s="322" t="s">
        <v>1319</v>
      </c>
      <c r="EA135" s="29"/>
      <c r="EB135" s="428"/>
      <c r="EC135" s="428"/>
      <c r="ED135" s="428"/>
      <c r="EE135" s="428"/>
      <c r="EF135" s="428"/>
      <c r="EG135" s="428"/>
      <c r="EH135" s="428"/>
      <c r="EI135" s="428"/>
      <c r="EJ135" s="428"/>
      <c r="EK135" s="428"/>
      <c r="EL135" s="428"/>
      <c r="EM135" s="428"/>
      <c r="EN135" s="29"/>
      <c r="EO135" s="29"/>
      <c r="EP135" s="29"/>
      <c r="EQ135" s="29"/>
      <c r="ER135" s="29"/>
      <c r="ES135" s="29"/>
      <c r="ET135" s="29"/>
      <c r="EU135" s="29"/>
      <c r="EV135" s="30"/>
      <c r="EW135" s="30"/>
      <c r="EX135" s="30"/>
      <c r="EY135" s="30"/>
      <c r="EZ135" s="30"/>
      <c r="FA135" s="30"/>
      <c r="FB135" s="30"/>
      <c r="FC135" s="30"/>
      <c r="FD135" s="30"/>
      <c r="FE135" s="30"/>
      <c r="FF135" s="30"/>
      <c r="FG135" s="30"/>
      <c r="FH135" s="30"/>
      <c r="FI135" s="30"/>
      <c r="FJ135" s="30"/>
      <c r="FK135" s="30"/>
      <c r="FL135" s="30"/>
    </row>
    <row r="136" spans="1:168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>
        <v>7</v>
      </c>
      <c r="AT136" s="234" t="s">
        <v>841</v>
      </c>
      <c r="AU136" s="234" t="s">
        <v>1561</v>
      </c>
      <c r="AV136" s="234" t="s">
        <v>1554</v>
      </c>
      <c r="AW136" s="234">
        <v>20</v>
      </c>
      <c r="AX136" s="234">
        <v>3</v>
      </c>
      <c r="AY136" s="234">
        <v>12</v>
      </c>
      <c r="AZ136" s="234" t="s">
        <v>434</v>
      </c>
      <c r="BA136" s="234">
        <v>3</v>
      </c>
      <c r="BB136" s="234">
        <v>-3</v>
      </c>
      <c r="BC136" s="234">
        <v>15</v>
      </c>
      <c r="BD136" s="234">
        <v>160</v>
      </c>
      <c r="BE136" s="375">
        <f t="shared" si="115"/>
        <v>10</v>
      </c>
      <c r="BF136" s="234">
        <v>13</v>
      </c>
      <c r="BG136" s="233"/>
      <c r="BH136" s="29"/>
      <c r="BI136" s="408"/>
      <c r="BJ136" s="408"/>
      <c r="BK136" s="408"/>
      <c r="BL136" s="408"/>
      <c r="BM136" s="408"/>
      <c r="BN136" s="233"/>
      <c r="BO136" s="233"/>
      <c r="BP136" s="233"/>
      <c r="BQ136" s="233"/>
      <c r="BR136" s="233"/>
      <c r="BS136" s="233"/>
      <c r="BT136" s="233"/>
      <c r="BU136" s="233"/>
      <c r="BV136" s="233"/>
      <c r="BW136" s="233"/>
      <c r="BX136" s="233"/>
      <c r="BY136" s="233"/>
      <c r="BZ136" s="233"/>
      <c r="CG136" s="233"/>
      <c r="CH136" s="233"/>
      <c r="CI136" s="233"/>
      <c r="CJ136" s="233"/>
      <c r="CK136" s="233"/>
      <c r="CL136" s="233"/>
      <c r="CM136" s="233"/>
      <c r="CN136" s="233"/>
      <c r="CO136" s="233"/>
      <c r="CP136" s="233"/>
      <c r="CQ136" s="233"/>
      <c r="CR136" s="233"/>
      <c r="CS136" s="233"/>
      <c r="CT136" s="233"/>
      <c r="CU136" s="233"/>
      <c r="CV136" s="233"/>
      <c r="CW136" s="233"/>
      <c r="CX136" s="233"/>
      <c r="CY136" s="233"/>
      <c r="CZ136" s="233"/>
      <c r="DA136" s="233"/>
      <c r="DB136" s="233"/>
      <c r="DC136" s="233"/>
      <c r="DD136" s="233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428"/>
      <c r="EC136" s="428"/>
      <c r="ED136" s="428"/>
      <c r="EE136" s="428"/>
      <c r="EF136" s="428"/>
      <c r="EG136" s="428"/>
      <c r="EH136" s="428"/>
      <c r="EI136" s="428"/>
      <c r="EJ136" s="428"/>
      <c r="EK136" s="428"/>
      <c r="EL136" s="428"/>
      <c r="EM136" s="428"/>
      <c r="EN136" s="29"/>
      <c r="EO136" s="29"/>
      <c r="EP136" s="29"/>
      <c r="EQ136" s="29"/>
      <c r="ER136" s="29"/>
      <c r="ES136" s="29"/>
      <c r="ET136" s="29"/>
      <c r="EU136" s="29"/>
      <c r="EV136" s="30"/>
      <c r="EW136" s="30"/>
      <c r="EX136" s="30"/>
      <c r="EY136" s="30"/>
      <c r="EZ136" s="30"/>
      <c r="FA136" s="30"/>
      <c r="FB136" s="30"/>
      <c r="FC136" s="30"/>
      <c r="FD136" s="30"/>
      <c r="FE136" s="30"/>
      <c r="FF136" s="30"/>
      <c r="FG136" s="30"/>
      <c r="FH136" s="30"/>
      <c r="FI136" s="30"/>
      <c r="FJ136" s="30"/>
      <c r="FK136" s="30"/>
      <c r="FL136" s="30"/>
    </row>
    <row r="137" spans="1:168" ht="15.75" thickBot="1" x14ac:dyDescent="0.3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233"/>
      <c r="W137" s="233"/>
      <c r="X137" s="233"/>
      <c r="Y137" s="233"/>
      <c r="Z137" s="233"/>
      <c r="AA137" s="233"/>
      <c r="AB137" s="233"/>
      <c r="AC137" s="233"/>
      <c r="AD137" s="233"/>
      <c r="AE137" s="233"/>
      <c r="AF137" s="233"/>
      <c r="AG137" s="233"/>
      <c r="AH137" s="233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>
        <v>8</v>
      </c>
      <c r="AT137" s="234" t="s">
        <v>842</v>
      </c>
      <c r="AU137" s="234" t="s">
        <v>510</v>
      </c>
      <c r="AV137" s="234" t="s">
        <v>739</v>
      </c>
      <c r="AW137" s="234">
        <v>20</v>
      </c>
      <c r="AX137" s="234">
        <v>2</v>
      </c>
      <c r="AY137" s="234">
        <v>13</v>
      </c>
      <c r="AZ137" s="234" t="s">
        <v>909</v>
      </c>
      <c r="BA137" s="234">
        <v>3</v>
      </c>
      <c r="BB137" s="234">
        <v>-1</v>
      </c>
      <c r="BC137" s="234">
        <v>25</v>
      </c>
      <c r="BD137" s="234">
        <v>70</v>
      </c>
      <c r="BE137" s="375">
        <f t="shared" si="115"/>
        <v>10</v>
      </c>
      <c r="BF137" s="234">
        <v>14</v>
      </c>
      <c r="BG137" s="233"/>
      <c r="BH137" s="29"/>
      <c r="BI137" s="408"/>
      <c r="BJ137" s="408"/>
      <c r="BK137" s="408"/>
      <c r="BL137" s="408"/>
      <c r="BM137" s="408"/>
      <c r="BN137" s="233"/>
      <c r="BO137" s="233"/>
      <c r="BP137" s="233"/>
      <c r="BQ137" s="233"/>
      <c r="BR137" s="233"/>
      <c r="BS137" s="233"/>
      <c r="BT137" s="233"/>
      <c r="BU137" s="233"/>
      <c r="BV137" s="233"/>
      <c r="BW137" s="233"/>
      <c r="BX137" s="233"/>
      <c r="BY137" s="233"/>
      <c r="BZ137" s="233"/>
      <c r="CG137" s="233"/>
      <c r="CH137" s="233"/>
      <c r="CI137" s="233"/>
      <c r="CJ137" s="233"/>
      <c r="CK137" s="233"/>
      <c r="CL137" s="233"/>
      <c r="CM137" s="233"/>
      <c r="CN137" s="233"/>
      <c r="CO137" s="233"/>
      <c r="CP137" s="233"/>
      <c r="CQ137" s="233"/>
      <c r="CR137" s="233"/>
      <c r="CS137" s="233"/>
      <c r="CT137" s="233"/>
      <c r="CU137" s="233"/>
      <c r="CV137" s="233"/>
      <c r="CW137" s="233"/>
      <c r="CX137" s="233"/>
      <c r="CY137" s="233"/>
      <c r="CZ137" s="233"/>
      <c r="DA137" s="233"/>
      <c r="DB137" s="233"/>
      <c r="DC137" s="233"/>
      <c r="DD137" s="233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428"/>
      <c r="EC137" s="428"/>
      <c r="ED137" s="428"/>
      <c r="EE137" s="428"/>
      <c r="EF137" s="428"/>
      <c r="EG137" s="428"/>
      <c r="EH137" s="428"/>
      <c r="EI137" s="428"/>
      <c r="EJ137" s="428"/>
      <c r="EK137" s="428"/>
      <c r="EL137" s="428"/>
      <c r="EM137" s="428"/>
      <c r="EN137" s="29"/>
      <c r="EO137" s="29"/>
      <c r="EP137" s="29"/>
      <c r="EQ137" s="29"/>
      <c r="ER137" s="29"/>
      <c r="ES137" s="29"/>
      <c r="ET137" s="29"/>
      <c r="EU137" s="29"/>
      <c r="EV137" s="30"/>
      <c r="EW137" s="30"/>
      <c r="EX137" s="30"/>
      <c r="EY137" s="30"/>
      <c r="EZ137" s="30"/>
      <c r="FA137" s="30"/>
      <c r="FB137" s="30"/>
      <c r="FC137" s="30"/>
      <c r="FD137" s="30"/>
      <c r="FE137" s="30"/>
      <c r="FF137" s="30"/>
      <c r="FG137" s="30"/>
      <c r="FH137" s="30"/>
      <c r="FI137" s="30"/>
      <c r="FJ137" s="30"/>
      <c r="FK137" s="30"/>
      <c r="FL137" s="30"/>
    </row>
    <row r="138" spans="1:168" ht="15.75" thickBot="1" x14ac:dyDescent="0.3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233"/>
      <c r="W138" s="233"/>
      <c r="X138" s="233"/>
      <c r="Y138" s="233"/>
      <c r="Z138" s="233"/>
      <c r="AA138" s="233"/>
      <c r="AB138" s="233"/>
      <c r="AC138" s="233"/>
      <c r="AD138" s="233"/>
      <c r="AE138" s="233"/>
      <c r="AF138" s="233"/>
      <c r="AG138" s="233"/>
      <c r="AH138" s="233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>
        <v>9</v>
      </c>
      <c r="AT138" s="234" t="s">
        <v>843</v>
      </c>
      <c r="AU138" s="234" t="s">
        <v>475</v>
      </c>
      <c r="AV138" s="234" t="s">
        <v>654</v>
      </c>
      <c r="AW138" s="234">
        <v>20</v>
      </c>
      <c r="AX138" s="234">
        <v>2</v>
      </c>
      <c r="AY138" s="234">
        <v>13</v>
      </c>
      <c r="AZ138" s="389" t="s">
        <v>908</v>
      </c>
      <c r="BA138" s="234">
        <v>1</v>
      </c>
      <c r="BB138" s="234">
        <v>0</v>
      </c>
      <c r="BC138" s="234">
        <v>1</v>
      </c>
      <c r="BD138" s="234">
        <v>200</v>
      </c>
      <c r="BE138" s="375">
        <f t="shared" si="115"/>
        <v>10</v>
      </c>
      <c r="BF138" s="234">
        <v>14</v>
      </c>
      <c r="BG138" s="233"/>
      <c r="BH138" s="29"/>
      <c r="BI138" s="408"/>
      <c r="BJ138" s="408"/>
      <c r="BK138" s="408"/>
      <c r="BL138" s="408"/>
      <c r="BM138" s="408"/>
      <c r="BN138" s="233"/>
      <c r="BO138" s="233"/>
      <c r="BP138" s="233"/>
      <c r="BQ138" s="233"/>
      <c r="BR138" s="233"/>
      <c r="BS138" s="233"/>
      <c r="BT138" s="233"/>
      <c r="BU138" s="233"/>
      <c r="BV138" s="233"/>
      <c r="BW138" s="233"/>
      <c r="BX138" s="233"/>
      <c r="BY138" s="233"/>
      <c r="BZ138" s="233"/>
      <c r="CG138" s="233"/>
      <c r="CH138" s="233"/>
      <c r="CI138" s="233"/>
      <c r="CJ138" s="233"/>
      <c r="CK138" s="233"/>
      <c r="CL138" s="233"/>
      <c r="CM138" s="233"/>
      <c r="CN138" s="233"/>
      <c r="CO138" s="233"/>
      <c r="CP138" s="233"/>
      <c r="CQ138" s="233"/>
      <c r="CR138" s="233"/>
      <c r="CS138" s="233"/>
      <c r="CT138" s="233"/>
      <c r="CU138" s="233"/>
      <c r="CV138" s="233"/>
      <c r="CW138" s="233"/>
      <c r="CX138" s="233"/>
      <c r="CY138" s="233"/>
      <c r="CZ138" s="233"/>
      <c r="DA138" s="233"/>
      <c r="DB138" s="233"/>
      <c r="DC138" s="233"/>
      <c r="DD138" s="233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313" t="s">
        <v>1352</v>
      </c>
      <c r="DY138" s="325" t="s">
        <v>1149</v>
      </c>
      <c r="DZ138" s="325" t="s">
        <v>1076</v>
      </c>
      <c r="EA138" s="325" t="s">
        <v>1353</v>
      </c>
      <c r="EB138" s="428"/>
      <c r="EC138" s="428"/>
      <c r="ED138" s="428"/>
      <c r="EE138" s="428"/>
      <c r="EF138" s="428"/>
      <c r="EG138" s="428"/>
      <c r="EH138" s="428"/>
      <c r="EI138" s="428"/>
      <c r="EJ138" s="428"/>
      <c r="EK138" s="428"/>
      <c r="EL138" s="428"/>
      <c r="EM138" s="428"/>
      <c r="EN138" s="29"/>
      <c r="EO138" s="29"/>
      <c r="EP138" s="29"/>
      <c r="EQ138" s="29"/>
      <c r="ER138" s="29"/>
      <c r="ES138" s="29"/>
      <c r="ET138" s="29"/>
      <c r="EU138" s="29"/>
      <c r="EV138" s="30"/>
      <c r="EW138" s="30"/>
      <c r="EX138" s="30"/>
      <c r="EY138" s="30"/>
      <c r="EZ138" s="30"/>
      <c r="FA138" s="30"/>
      <c r="FB138" s="30"/>
      <c r="FC138" s="30"/>
      <c r="FD138" s="30"/>
      <c r="FE138" s="30"/>
      <c r="FF138" s="30"/>
      <c r="FG138" s="30"/>
      <c r="FH138" s="30"/>
      <c r="FI138" s="30"/>
      <c r="FJ138" s="30"/>
      <c r="FK138" s="30"/>
      <c r="FL138" s="30"/>
    </row>
    <row r="139" spans="1:168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233"/>
      <c r="W139" s="233"/>
      <c r="X139" s="233"/>
      <c r="Y139" s="233"/>
      <c r="Z139" s="233"/>
      <c r="AA139" s="233"/>
      <c r="AB139" s="233"/>
      <c r="AC139" s="233"/>
      <c r="AD139" s="233"/>
      <c r="AE139" s="233"/>
      <c r="AF139" s="233"/>
      <c r="AG139" s="233"/>
      <c r="AH139" s="233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>
        <v>10</v>
      </c>
      <c r="AT139" s="234" t="s">
        <v>867</v>
      </c>
      <c r="AU139" s="234" t="s">
        <v>739</v>
      </c>
      <c r="AV139" s="234" t="s">
        <v>844</v>
      </c>
      <c r="AW139" s="234">
        <v>20</v>
      </c>
      <c r="AX139" s="234">
        <v>3</v>
      </c>
      <c r="AY139" s="234">
        <v>13</v>
      </c>
      <c r="AZ139" s="234" t="s">
        <v>1551</v>
      </c>
      <c r="BA139" s="234">
        <v>2</v>
      </c>
      <c r="BB139" s="234">
        <v>-2</v>
      </c>
      <c r="BC139" s="234">
        <v>6</v>
      </c>
      <c r="BD139" s="234">
        <v>150</v>
      </c>
      <c r="BE139" s="375">
        <f t="shared" si="115"/>
        <v>10</v>
      </c>
      <c r="BF139" s="234">
        <v>14</v>
      </c>
      <c r="BG139" s="233"/>
      <c r="BH139" s="29"/>
      <c r="BI139" s="36"/>
      <c r="BJ139" s="408"/>
      <c r="BK139" s="408"/>
      <c r="BL139" s="408"/>
      <c r="BM139" s="408"/>
      <c r="BN139" s="233"/>
      <c r="BO139" s="233"/>
      <c r="BP139" s="233"/>
      <c r="BQ139" s="233"/>
      <c r="BR139" s="233"/>
      <c r="BS139" s="233"/>
      <c r="BT139" s="233"/>
      <c r="BU139" s="233"/>
      <c r="BV139" s="233"/>
      <c r="BW139" s="233"/>
      <c r="BX139" s="233"/>
      <c r="BY139" s="233"/>
      <c r="BZ139" s="233"/>
      <c r="CG139" s="233"/>
      <c r="CH139" s="233"/>
      <c r="CI139" s="233"/>
      <c r="CJ139" s="233"/>
      <c r="CK139" s="233"/>
      <c r="CL139" s="233"/>
      <c r="CM139" s="233"/>
      <c r="CN139" s="233"/>
      <c r="CO139" s="233"/>
      <c r="CP139" s="233"/>
      <c r="CQ139" s="233"/>
      <c r="CR139" s="233"/>
      <c r="CS139" s="233"/>
      <c r="CT139" s="233"/>
      <c r="CU139" s="233"/>
      <c r="CV139" s="233"/>
      <c r="CW139" s="233"/>
      <c r="CX139" s="233"/>
      <c r="CY139" s="233"/>
      <c r="CZ139" s="233"/>
      <c r="DA139" s="233"/>
      <c r="DB139" s="233"/>
      <c r="DC139" s="233"/>
      <c r="DD139" s="233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328" t="s">
        <v>1354</v>
      </c>
      <c r="DX139" s="278" t="s">
        <v>1354</v>
      </c>
      <c r="DY139" s="308"/>
      <c r="DZ139" s="308"/>
      <c r="EA139" s="308"/>
      <c r="EB139" s="428"/>
      <c r="EC139" s="428"/>
      <c r="ED139" s="428"/>
      <c r="EE139" s="428"/>
      <c r="EF139" s="428"/>
      <c r="EG139" s="428"/>
      <c r="EH139" s="428"/>
      <c r="EI139" s="428"/>
      <c r="EJ139" s="428"/>
      <c r="EK139" s="428"/>
      <c r="EL139" s="428"/>
      <c r="EM139" s="428"/>
      <c r="EN139" s="29"/>
      <c r="EO139" s="29"/>
      <c r="EP139" s="29"/>
      <c r="EQ139" s="29"/>
      <c r="ER139" s="29"/>
      <c r="ES139" s="29"/>
      <c r="ET139" s="29"/>
      <c r="EU139" s="29"/>
      <c r="EV139" s="30"/>
      <c r="EW139" s="30"/>
      <c r="EX139" s="30"/>
      <c r="EY139" s="30"/>
      <c r="EZ139" s="30"/>
      <c r="FA139" s="30"/>
      <c r="FB139" s="30"/>
      <c r="FC139" s="30"/>
      <c r="FD139" s="30"/>
      <c r="FE139" s="30"/>
      <c r="FF139" s="30"/>
      <c r="FG139" s="30"/>
      <c r="FH139" s="30"/>
      <c r="FI139" s="30"/>
      <c r="FJ139" s="30"/>
      <c r="FK139" s="30"/>
      <c r="FL139" s="30"/>
    </row>
    <row r="140" spans="1:168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233"/>
      <c r="W140" s="233"/>
      <c r="X140" s="233"/>
      <c r="Y140" s="233"/>
      <c r="Z140" s="233"/>
      <c r="AA140" s="233"/>
      <c r="AB140" s="233"/>
      <c r="AC140" s="233"/>
      <c r="AD140" s="233"/>
      <c r="AE140" s="233"/>
      <c r="AF140" s="233"/>
      <c r="AG140" s="233"/>
      <c r="AH140" s="233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>
        <v>11</v>
      </c>
      <c r="AT140" s="234" t="s">
        <v>866</v>
      </c>
      <c r="AU140" s="234" t="s">
        <v>654</v>
      </c>
      <c r="AV140" s="234" t="s">
        <v>1555</v>
      </c>
      <c r="AW140" s="234">
        <v>20</v>
      </c>
      <c r="AX140" s="234">
        <v>4</v>
      </c>
      <c r="AY140" s="234">
        <v>16</v>
      </c>
      <c r="AZ140" s="389" t="s">
        <v>908</v>
      </c>
      <c r="BA140" s="234">
        <v>1</v>
      </c>
      <c r="BB140" s="234">
        <v>0</v>
      </c>
      <c r="BC140" s="234">
        <v>1</v>
      </c>
      <c r="BD140" s="234">
        <v>300</v>
      </c>
      <c r="BE140" s="375">
        <f t="shared" si="115"/>
        <v>24</v>
      </c>
      <c r="BF140" s="234">
        <v>30</v>
      </c>
      <c r="BG140" s="233"/>
      <c r="BH140" s="29"/>
      <c r="BI140" s="36"/>
      <c r="BJ140" s="408"/>
      <c r="BK140" s="408"/>
      <c r="BL140" s="408"/>
      <c r="BM140" s="408"/>
      <c r="BN140" s="233"/>
      <c r="BO140" s="233"/>
      <c r="BP140" s="233"/>
      <c r="BQ140" s="233"/>
      <c r="BR140" s="233"/>
      <c r="BS140" s="233"/>
      <c r="BT140" s="233"/>
      <c r="BU140" s="233"/>
      <c r="BV140" s="233"/>
      <c r="BW140" s="233"/>
      <c r="BX140" s="233"/>
      <c r="BY140" s="233"/>
      <c r="BZ140" s="233"/>
      <c r="CG140" s="233"/>
      <c r="CH140" s="233"/>
      <c r="CI140" s="233"/>
      <c r="CJ140" s="233"/>
      <c r="CK140" s="233"/>
      <c r="CL140" s="233"/>
      <c r="CM140" s="233"/>
      <c r="CN140" s="233"/>
      <c r="CO140" s="233"/>
      <c r="CP140" s="233"/>
      <c r="CQ140" s="233"/>
      <c r="CR140" s="233"/>
      <c r="CS140" s="233"/>
      <c r="CT140" s="233"/>
      <c r="CU140" s="233"/>
      <c r="CV140" s="233"/>
      <c r="CW140" s="233"/>
      <c r="CX140" s="233"/>
      <c r="CY140" s="233"/>
      <c r="CZ140" s="233"/>
      <c r="DA140" s="233"/>
      <c r="DB140" s="233"/>
      <c r="DC140" s="233"/>
      <c r="DD140" s="233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310" t="s">
        <v>1420</v>
      </c>
      <c r="DX140" s="310" t="s">
        <v>1420</v>
      </c>
      <c r="DY140" s="311">
        <v>1020</v>
      </c>
      <c r="DZ140" s="309" t="s">
        <v>1355</v>
      </c>
      <c r="EA140" s="309" t="s">
        <v>847</v>
      </c>
      <c r="EB140" s="428"/>
      <c r="EC140" s="428"/>
      <c r="ED140" s="428"/>
      <c r="EE140" s="428"/>
      <c r="EF140" s="428"/>
      <c r="EG140" s="428"/>
      <c r="EH140" s="428"/>
      <c r="EI140" s="428"/>
      <c r="EJ140" s="428"/>
      <c r="EK140" s="428"/>
      <c r="EL140" s="428"/>
      <c r="EM140" s="428"/>
      <c r="EN140" s="29"/>
      <c r="EO140" s="29"/>
      <c r="EP140" s="29"/>
      <c r="EQ140" s="29"/>
      <c r="ER140" s="29"/>
      <c r="ES140" s="29"/>
      <c r="ET140" s="29"/>
      <c r="EU140" s="29"/>
      <c r="EV140" s="30"/>
      <c r="EW140" s="30"/>
      <c r="EX140" s="30"/>
      <c r="EY140" s="30"/>
      <c r="EZ140" s="30"/>
      <c r="FA140" s="30"/>
      <c r="FB140" s="30"/>
      <c r="FC140" s="30"/>
      <c r="FD140" s="30"/>
      <c r="FE140" s="30"/>
      <c r="FF140" s="30"/>
      <c r="FG140" s="30"/>
      <c r="FH140" s="30"/>
      <c r="FI140" s="30"/>
      <c r="FJ140" s="30"/>
      <c r="FK140" s="30"/>
      <c r="FL140" s="30"/>
    </row>
    <row r="141" spans="1:168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233"/>
      <c r="W141" s="233"/>
      <c r="X141" s="233"/>
      <c r="Y141" s="233"/>
      <c r="Z141" s="233"/>
      <c r="AA141" s="233"/>
      <c r="AB141" s="233"/>
      <c r="AC141" s="233"/>
      <c r="AD141" s="233"/>
      <c r="AE141" s="233"/>
      <c r="AF141" s="233"/>
      <c r="AG141" s="233"/>
      <c r="AH141" s="233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>
        <v>12</v>
      </c>
      <c r="AT141" s="234" t="s">
        <v>845</v>
      </c>
      <c r="AU141" s="234" t="s">
        <v>819</v>
      </c>
      <c r="AV141" s="234" t="s">
        <v>475</v>
      </c>
      <c r="AW141" s="234">
        <v>20</v>
      </c>
      <c r="AX141" s="234">
        <v>3</v>
      </c>
      <c r="AY141" s="234">
        <v>15</v>
      </c>
      <c r="AZ141" s="234" t="s">
        <v>1551</v>
      </c>
      <c r="BA141" s="234">
        <v>2</v>
      </c>
      <c r="BB141" s="234">
        <v>-1</v>
      </c>
      <c r="BC141" s="234">
        <v>3</v>
      </c>
      <c r="BD141" s="234">
        <v>140</v>
      </c>
      <c r="BE141" s="375">
        <f t="shared" si="115"/>
        <v>10</v>
      </c>
      <c r="BF141" s="234">
        <v>14</v>
      </c>
      <c r="BG141" s="233"/>
      <c r="BH141" s="29"/>
      <c r="BI141" s="36"/>
      <c r="BJ141" s="408"/>
      <c r="BK141" s="408"/>
      <c r="BL141" s="408"/>
      <c r="BM141" s="408"/>
      <c r="BN141" s="233"/>
      <c r="BO141" s="233"/>
      <c r="BP141" s="233"/>
      <c r="BQ141" s="233"/>
      <c r="BR141" s="233"/>
      <c r="BS141" s="233"/>
      <c r="BT141" s="233"/>
      <c r="BU141" s="233"/>
      <c r="BV141" s="233"/>
      <c r="BW141" s="233"/>
      <c r="BX141" s="233"/>
      <c r="BY141" s="233"/>
      <c r="BZ141" s="233"/>
      <c r="CG141" s="233"/>
      <c r="CH141" s="233"/>
      <c r="CI141" s="233"/>
      <c r="CJ141" s="233"/>
      <c r="CK141" s="233"/>
      <c r="CL141" s="233"/>
      <c r="CM141" s="233"/>
      <c r="CN141" s="233"/>
      <c r="CO141" s="233"/>
      <c r="CP141" s="233"/>
      <c r="CQ141" s="233"/>
      <c r="CR141" s="233"/>
      <c r="CS141" s="233"/>
      <c r="CT141" s="233"/>
      <c r="CU141" s="233"/>
      <c r="CV141" s="233"/>
      <c r="CW141" s="233"/>
      <c r="CX141" s="233"/>
      <c r="CY141" s="233"/>
      <c r="CZ141" s="233"/>
      <c r="DA141" s="233"/>
      <c r="DB141" s="233"/>
      <c r="DC141" s="233"/>
      <c r="DD141" s="233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79" t="s">
        <v>1356</v>
      </c>
      <c r="DX141" s="279"/>
      <c r="DY141" s="308"/>
      <c r="DZ141" s="624" t="s">
        <v>1357</v>
      </c>
      <c r="EA141" s="308"/>
      <c r="EB141" s="428"/>
      <c r="EC141" s="428"/>
      <c r="ED141" s="428"/>
      <c r="EE141" s="428"/>
      <c r="EF141" s="428"/>
      <c r="EG141" s="428"/>
      <c r="EH141" s="428"/>
      <c r="EI141" s="428"/>
      <c r="EJ141" s="428"/>
      <c r="EK141" s="428"/>
      <c r="EL141" s="428"/>
      <c r="EM141" s="428"/>
      <c r="EN141" s="29"/>
      <c r="EO141" s="29"/>
      <c r="EP141" s="29"/>
      <c r="EQ141" s="29"/>
      <c r="ER141" s="29"/>
      <c r="ES141" s="29"/>
      <c r="ET141" s="29"/>
      <c r="EU141" s="29"/>
      <c r="EV141" s="30"/>
      <c r="EW141" s="30"/>
      <c r="EX141" s="30"/>
      <c r="EY141" s="30"/>
      <c r="EZ141" s="30"/>
      <c r="FA141" s="30"/>
      <c r="FB141" s="30"/>
      <c r="FC141" s="30"/>
      <c r="FD141" s="30"/>
      <c r="FE141" s="30"/>
      <c r="FF141" s="30"/>
      <c r="FG141" s="30"/>
      <c r="FH141" s="30"/>
      <c r="FI141" s="30"/>
      <c r="FJ141" s="30"/>
      <c r="FK141" s="30"/>
      <c r="FL141" s="30"/>
    </row>
    <row r="142" spans="1:168" ht="15.7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233"/>
      <c r="W142" s="233"/>
      <c r="X142" s="233"/>
      <c r="Y142" s="233"/>
      <c r="Z142" s="233"/>
      <c r="AA142" s="233"/>
      <c r="AB142" s="233"/>
      <c r="AC142" s="233"/>
      <c r="AD142" s="233"/>
      <c r="AE142" s="233"/>
      <c r="AF142" s="233"/>
      <c r="AG142" s="233"/>
      <c r="AH142" s="233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>
        <v>13</v>
      </c>
      <c r="AT142" s="234" t="s">
        <v>1434</v>
      </c>
      <c r="AU142" s="234"/>
      <c r="AV142" s="234"/>
      <c r="AW142" s="234"/>
      <c r="AX142" s="234"/>
      <c r="AY142" s="234"/>
      <c r="AZ142" s="234"/>
      <c r="BA142" s="234"/>
      <c r="BB142" s="234"/>
      <c r="BC142" s="234"/>
      <c r="BD142" s="234"/>
      <c r="BE142" s="375"/>
      <c r="BF142" s="234"/>
      <c r="BG142" s="233"/>
      <c r="BH142" s="29"/>
      <c r="BI142" s="36"/>
      <c r="BJ142" s="408"/>
      <c r="BK142" s="408"/>
      <c r="BL142" s="408"/>
      <c r="BM142" s="408"/>
      <c r="BN142" s="233"/>
      <c r="BO142" s="233"/>
      <c r="BP142" s="233"/>
      <c r="BQ142" s="233"/>
      <c r="BR142" s="233"/>
      <c r="BS142" s="233"/>
      <c r="BT142" s="233"/>
      <c r="BU142" s="233"/>
      <c r="BV142" s="233"/>
      <c r="BW142" s="233"/>
      <c r="BX142" s="233"/>
      <c r="BY142" s="233"/>
      <c r="BZ142" s="233"/>
      <c r="CG142" s="233"/>
      <c r="CH142" s="233"/>
      <c r="CI142" s="233"/>
      <c r="CJ142" s="233"/>
      <c r="CK142" s="233"/>
      <c r="CL142" s="233"/>
      <c r="CM142" s="233"/>
      <c r="CN142" s="233"/>
      <c r="CO142" s="233"/>
      <c r="CP142" s="233"/>
      <c r="CQ142" s="233"/>
      <c r="CR142" s="233"/>
      <c r="CS142" s="233"/>
      <c r="CT142" s="233"/>
      <c r="CU142" s="233"/>
      <c r="CV142" s="233"/>
      <c r="CW142" s="233"/>
      <c r="CX142" s="233"/>
      <c r="CY142" s="233"/>
      <c r="CZ142" s="233"/>
      <c r="DA142" s="233"/>
      <c r="DB142" s="233"/>
      <c r="DC142" s="233"/>
      <c r="DD142" s="233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310" t="s">
        <v>1358</v>
      </c>
      <c r="DX142" s="279" t="s">
        <v>1356</v>
      </c>
      <c r="DY142" s="280">
        <v>3000</v>
      </c>
      <c r="DZ142" s="624"/>
      <c r="EA142" s="308">
        <v>-1</v>
      </c>
      <c r="EB142" s="428"/>
      <c r="EC142" s="428"/>
      <c r="ED142" s="428"/>
      <c r="EE142" s="428"/>
      <c r="EF142" s="428"/>
      <c r="EG142" s="428"/>
      <c r="EH142" s="428"/>
      <c r="EI142" s="428"/>
      <c r="EJ142" s="428"/>
      <c r="EK142" s="428"/>
      <c r="EL142" s="428"/>
      <c r="EM142" s="428"/>
      <c r="EN142" s="29"/>
      <c r="EO142" s="29"/>
      <c r="EP142" s="29"/>
      <c r="EQ142" s="29"/>
      <c r="ER142" s="29"/>
      <c r="ES142" s="29"/>
      <c r="ET142" s="29"/>
      <c r="EU142" s="29"/>
      <c r="EV142" s="30"/>
      <c r="EW142" s="30"/>
      <c r="EX142" s="30"/>
      <c r="EY142" s="30"/>
      <c r="EZ142" s="30"/>
      <c r="FA142" s="30"/>
      <c r="FB142" s="30"/>
      <c r="FC142" s="30"/>
      <c r="FD142" s="30"/>
      <c r="FE142" s="30"/>
      <c r="FF142" s="30"/>
      <c r="FG142" s="30"/>
      <c r="FH142" s="30"/>
      <c r="FI142" s="30"/>
      <c r="FJ142" s="30"/>
      <c r="FK142" s="30"/>
      <c r="FL142" s="30"/>
    </row>
    <row r="143" spans="1:168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233"/>
      <c r="W143" s="233"/>
      <c r="X143" s="233"/>
      <c r="Y143" s="233"/>
      <c r="Z143" s="233"/>
      <c r="AA143" s="233"/>
      <c r="AB143" s="233"/>
      <c r="AC143" s="233"/>
      <c r="AD143" s="233"/>
      <c r="AE143" s="233"/>
      <c r="AF143" s="233"/>
      <c r="AG143" s="233"/>
      <c r="AH143" s="233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>
        <v>14</v>
      </c>
      <c r="AT143" s="234" t="s">
        <v>1528</v>
      </c>
      <c r="AU143" s="234" t="s">
        <v>1554</v>
      </c>
      <c r="AV143" s="234" t="s">
        <v>819</v>
      </c>
      <c r="AW143" s="234">
        <v>19</v>
      </c>
      <c r="AX143" s="234">
        <v>3</v>
      </c>
      <c r="AY143" s="234">
        <v>14</v>
      </c>
      <c r="AZ143" s="234" t="s">
        <v>1551</v>
      </c>
      <c r="BA143" s="234">
        <v>2</v>
      </c>
      <c r="BB143" s="234">
        <v>-2</v>
      </c>
      <c r="BC143" s="234">
        <v>5</v>
      </c>
      <c r="BD143" s="234">
        <v>150</v>
      </c>
      <c r="BE143" s="375">
        <f t="shared" si="115"/>
        <v>16</v>
      </c>
      <c r="BF143" s="234">
        <v>22</v>
      </c>
      <c r="BG143" s="233"/>
      <c r="BH143" s="29"/>
      <c r="BI143" s="36"/>
      <c r="BJ143" s="408"/>
      <c r="BK143" s="408"/>
      <c r="BL143" s="408"/>
      <c r="BM143" s="408"/>
      <c r="BN143" s="233"/>
      <c r="BO143" s="233"/>
      <c r="BP143" s="233"/>
      <c r="BQ143" s="233"/>
      <c r="BR143" s="233"/>
      <c r="BS143" s="233"/>
      <c r="BT143" s="233"/>
      <c r="BU143" s="233"/>
      <c r="BV143" s="233"/>
      <c r="BW143" s="233"/>
      <c r="BX143" s="233"/>
      <c r="BY143" s="233"/>
      <c r="BZ143" s="233"/>
      <c r="CG143" s="233"/>
      <c r="CH143" s="233"/>
      <c r="CI143" s="233"/>
      <c r="CJ143" s="233"/>
      <c r="CK143" s="233"/>
      <c r="CL143" s="233"/>
      <c r="CM143" s="233"/>
      <c r="CN143" s="233"/>
      <c r="CO143" s="233"/>
      <c r="CP143" s="233"/>
      <c r="CQ143" s="233"/>
      <c r="CR143" s="233"/>
      <c r="CS143" s="233"/>
      <c r="CT143" s="233"/>
      <c r="CU143" s="233"/>
      <c r="CV143" s="233"/>
      <c r="CW143" s="233"/>
      <c r="CX143" s="233"/>
      <c r="CY143" s="233"/>
      <c r="CZ143" s="233"/>
      <c r="DA143" s="233"/>
      <c r="DB143" s="233"/>
      <c r="DC143" s="233"/>
      <c r="DD143" s="233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79" t="s">
        <v>1360</v>
      </c>
      <c r="DX143" s="310" t="s">
        <v>1358</v>
      </c>
      <c r="DY143" s="311">
        <v>2200</v>
      </c>
      <c r="DZ143" s="309" t="s">
        <v>1359</v>
      </c>
      <c r="EA143" s="309" t="s">
        <v>847</v>
      </c>
      <c r="EB143" s="428"/>
      <c r="EC143" s="428"/>
      <c r="ED143" s="428"/>
      <c r="EE143" s="428"/>
      <c r="EF143" s="428"/>
      <c r="EG143" s="428"/>
      <c r="EH143" s="428"/>
      <c r="EI143" s="428"/>
      <c r="EJ143" s="428"/>
      <c r="EK143" s="428"/>
      <c r="EL143" s="428"/>
      <c r="EM143" s="428"/>
      <c r="EN143" s="29"/>
      <c r="EO143" s="29"/>
      <c r="EP143" s="29"/>
      <c r="EQ143" s="29"/>
      <c r="ER143" s="29"/>
      <c r="ES143" s="29"/>
      <c r="ET143" s="29"/>
      <c r="EU143" s="29"/>
      <c r="EV143" s="30"/>
      <c r="EW143" s="30"/>
      <c r="EX143" s="30"/>
      <c r="EY143" s="30"/>
      <c r="EZ143" s="30"/>
      <c r="FA143" s="30"/>
      <c r="FB143" s="30"/>
      <c r="FC143" s="30"/>
      <c r="FD143" s="30"/>
      <c r="FE143" s="30"/>
      <c r="FF143" s="30"/>
      <c r="FG143" s="30"/>
      <c r="FH143" s="30"/>
      <c r="FI143" s="30"/>
      <c r="FJ143" s="30"/>
      <c r="FK143" s="30"/>
      <c r="FL143" s="30"/>
    </row>
    <row r="144" spans="1:168" ht="24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233"/>
      <c r="W144" s="233"/>
      <c r="X144" s="233"/>
      <c r="Y144" s="233"/>
      <c r="Z144" s="233"/>
      <c r="AA144" s="233"/>
      <c r="AB144" s="233"/>
      <c r="AC144" s="233"/>
      <c r="AD144" s="233"/>
      <c r="AE144" s="233"/>
      <c r="AF144" s="233"/>
      <c r="AG144" s="233"/>
      <c r="AH144" s="233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>
        <v>15</v>
      </c>
      <c r="AT144" s="234" t="s">
        <v>1529</v>
      </c>
      <c r="AU144" s="234" t="s">
        <v>1555</v>
      </c>
      <c r="AV144" s="234" t="s">
        <v>1556</v>
      </c>
      <c r="AW144" s="234">
        <v>19</v>
      </c>
      <c r="AX144" s="234">
        <v>3</v>
      </c>
      <c r="AY144" s="234">
        <v>15</v>
      </c>
      <c r="AZ144" s="389" t="s">
        <v>908</v>
      </c>
      <c r="BA144" s="234">
        <v>1</v>
      </c>
      <c r="BB144" s="234">
        <v>0</v>
      </c>
      <c r="BC144" s="234">
        <v>1</v>
      </c>
      <c r="BD144" s="234">
        <v>200</v>
      </c>
      <c r="BE144" s="375">
        <f t="shared" si="115"/>
        <v>19</v>
      </c>
      <c r="BF144" s="234">
        <v>25</v>
      </c>
      <c r="BG144" s="233"/>
      <c r="BH144" s="29"/>
      <c r="BI144" s="36"/>
      <c r="BJ144" s="408"/>
      <c r="BK144" s="408"/>
      <c r="BL144" s="408"/>
      <c r="BM144" s="408"/>
      <c r="BN144" s="233"/>
      <c r="BO144" s="233"/>
      <c r="BP144" s="233"/>
      <c r="BQ144" s="233"/>
      <c r="BR144" s="233"/>
      <c r="BS144" s="233"/>
      <c r="BT144" s="233"/>
      <c r="BU144" s="233"/>
      <c r="BV144" s="233"/>
      <c r="BW144" s="233"/>
      <c r="BX144" s="233"/>
      <c r="BY144" s="233"/>
      <c r="BZ144" s="233"/>
      <c r="CG144" s="233"/>
      <c r="CH144" s="233"/>
      <c r="CI144" s="233"/>
      <c r="CJ144" s="233"/>
      <c r="CK144" s="233"/>
      <c r="CL144" s="233"/>
      <c r="CM144" s="233"/>
      <c r="CN144" s="233"/>
      <c r="CO144" s="233"/>
      <c r="CP144" s="233"/>
      <c r="CQ144" s="233"/>
      <c r="CR144" s="233"/>
      <c r="CS144" s="233"/>
      <c r="CT144" s="233"/>
      <c r="CU144" s="233"/>
      <c r="CV144" s="233"/>
      <c r="CW144" s="233"/>
      <c r="CX144" s="233"/>
      <c r="CY144" s="233"/>
      <c r="CZ144" s="233"/>
      <c r="DA144" s="233"/>
      <c r="DB144" s="233"/>
      <c r="DC144" s="233"/>
      <c r="DD144" s="233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81" t="s">
        <v>1362</v>
      </c>
      <c r="DX144" s="279" t="s">
        <v>1360</v>
      </c>
      <c r="DY144" s="280">
        <v>3200</v>
      </c>
      <c r="DZ144" s="308" t="s">
        <v>1361</v>
      </c>
      <c r="EA144" s="308" t="s">
        <v>535</v>
      </c>
      <c r="EB144" s="428"/>
      <c r="EC144" s="428"/>
      <c r="ED144" s="428"/>
      <c r="EE144" s="428"/>
      <c r="EF144" s="428"/>
      <c r="EG144" s="428"/>
      <c r="EH144" s="428"/>
      <c r="EI144" s="428"/>
      <c r="EJ144" s="428"/>
      <c r="EK144" s="428"/>
      <c r="EL144" s="428"/>
      <c r="EM144" s="428"/>
      <c r="EN144" s="29"/>
      <c r="EO144" s="29"/>
      <c r="EP144" s="29"/>
      <c r="EQ144" s="29"/>
      <c r="ER144" s="29"/>
      <c r="ES144" s="29"/>
      <c r="ET144" s="29"/>
      <c r="EU144" s="29"/>
      <c r="EV144" s="30"/>
      <c r="EW144" s="30"/>
      <c r="EX144" s="30"/>
      <c r="EY144" s="30"/>
      <c r="EZ144" s="30"/>
      <c r="FA144" s="30"/>
      <c r="FB144" s="30"/>
      <c r="FC144" s="30"/>
      <c r="FD144" s="30"/>
      <c r="FE144" s="30"/>
      <c r="FF144" s="30"/>
      <c r="FG144" s="30"/>
      <c r="FH144" s="30"/>
      <c r="FI144" s="30"/>
      <c r="FJ144" s="30"/>
      <c r="FK144" s="30"/>
      <c r="FL144" s="30"/>
    </row>
    <row r="145" spans="1:168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233"/>
      <c r="W145" s="233"/>
      <c r="X145" s="233"/>
      <c r="Y145" s="233"/>
      <c r="Z145" s="233"/>
      <c r="AA145" s="233"/>
      <c r="AB145" s="233"/>
      <c r="AC145" s="233"/>
      <c r="AD145" s="233"/>
      <c r="AE145" s="233"/>
      <c r="AF145" s="233"/>
      <c r="AG145" s="233"/>
      <c r="AH145" s="233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>
        <v>16</v>
      </c>
      <c r="AT145" s="234" t="s">
        <v>1530</v>
      </c>
      <c r="AU145" s="234" t="s">
        <v>819</v>
      </c>
      <c r="AV145" s="234" t="s">
        <v>475</v>
      </c>
      <c r="AW145" s="234">
        <v>20</v>
      </c>
      <c r="AX145" s="234">
        <v>2</v>
      </c>
      <c r="AY145" s="234">
        <v>14</v>
      </c>
      <c r="AZ145" s="234" t="s">
        <v>1551</v>
      </c>
      <c r="BA145" s="234">
        <v>1</v>
      </c>
      <c r="BB145" s="234">
        <v>-2</v>
      </c>
      <c r="BC145" s="234">
        <v>2</v>
      </c>
      <c r="BD145" s="234">
        <v>120</v>
      </c>
      <c r="BE145" s="375">
        <f t="shared" si="115"/>
        <v>19</v>
      </c>
      <c r="BF145" s="234">
        <v>25</v>
      </c>
      <c r="BG145" s="233"/>
      <c r="BH145" s="29"/>
      <c r="BI145" s="36"/>
      <c r="BJ145" s="408"/>
      <c r="BK145" s="408"/>
      <c r="BL145" s="408"/>
      <c r="BM145" s="408"/>
      <c r="BN145" s="233"/>
      <c r="BO145" s="233"/>
      <c r="BP145" s="233"/>
      <c r="BQ145" s="233"/>
      <c r="BR145" s="233"/>
      <c r="BS145" s="233"/>
      <c r="BT145" s="233"/>
      <c r="BU145" s="233"/>
      <c r="BV145" s="233"/>
      <c r="BW145" s="233"/>
      <c r="BX145" s="233"/>
      <c r="BY145" s="233"/>
      <c r="BZ145" s="233"/>
      <c r="CG145" s="233"/>
      <c r="CH145" s="233"/>
      <c r="CI145" s="233"/>
      <c r="CJ145" s="233"/>
      <c r="CK145" s="233"/>
      <c r="CL145" s="233"/>
      <c r="CM145" s="233"/>
      <c r="CN145" s="233"/>
      <c r="CO145" s="233"/>
      <c r="CP145" s="233"/>
      <c r="CQ145" s="233"/>
      <c r="CR145" s="233"/>
      <c r="CS145" s="233"/>
      <c r="CT145" s="233"/>
      <c r="CU145" s="233"/>
      <c r="CV145" s="233"/>
      <c r="CW145" s="233"/>
      <c r="CX145" s="233"/>
      <c r="CY145" s="233"/>
      <c r="CZ145" s="233"/>
      <c r="DA145" s="233"/>
      <c r="DB145" s="233"/>
      <c r="DC145" s="233"/>
      <c r="DD145" s="233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79" t="s">
        <v>1364</v>
      </c>
      <c r="DX145" s="281" t="s">
        <v>1362</v>
      </c>
      <c r="DY145" s="311">
        <v>3500</v>
      </c>
      <c r="DZ145" s="309" t="s">
        <v>1363</v>
      </c>
      <c r="EA145" s="309" t="s">
        <v>459</v>
      </c>
      <c r="EB145" s="428"/>
      <c r="EC145" s="428"/>
      <c r="ED145" s="428"/>
      <c r="EE145" s="428"/>
      <c r="EF145" s="428"/>
      <c r="EG145" s="428"/>
      <c r="EH145" s="428"/>
      <c r="EI145" s="428"/>
      <c r="EJ145" s="428"/>
      <c r="EK145" s="428"/>
      <c r="EL145" s="428"/>
      <c r="EM145" s="428"/>
      <c r="EN145" s="29"/>
      <c r="EO145" s="29"/>
      <c r="EP145" s="29"/>
      <c r="EQ145" s="29"/>
      <c r="ER145" s="29"/>
      <c r="ES145" s="29"/>
      <c r="ET145" s="29"/>
      <c r="EU145" s="29"/>
      <c r="EV145" s="30"/>
      <c r="EW145" s="30"/>
      <c r="EX145" s="30"/>
      <c r="EY145" s="30"/>
      <c r="EZ145" s="30"/>
      <c r="FA145" s="30"/>
      <c r="FB145" s="30"/>
      <c r="FC145" s="30"/>
      <c r="FD145" s="30"/>
      <c r="FE145" s="30"/>
      <c r="FF145" s="30"/>
      <c r="FG145" s="30"/>
      <c r="FH145" s="30"/>
      <c r="FI145" s="30"/>
      <c r="FJ145" s="30"/>
      <c r="FK145" s="30"/>
      <c r="FL145" s="30"/>
    </row>
    <row r="146" spans="1:168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233"/>
      <c r="W146" s="233"/>
      <c r="X146" s="233"/>
      <c r="Y146" s="233"/>
      <c r="Z146" s="233"/>
      <c r="AA146" s="233"/>
      <c r="AB146" s="233"/>
      <c r="AC146" s="233"/>
      <c r="AD146" s="233"/>
      <c r="AE146" s="233"/>
      <c r="AF146" s="233"/>
      <c r="AG146" s="233"/>
      <c r="AH146" s="233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>
        <v>17</v>
      </c>
      <c r="AT146" s="234" t="s">
        <v>1531</v>
      </c>
      <c r="AU146" s="234" t="s">
        <v>844</v>
      </c>
      <c r="AV146" s="234" t="s">
        <v>1557</v>
      </c>
      <c r="AW146" s="234">
        <v>20</v>
      </c>
      <c r="AX146" s="234">
        <v>2</v>
      </c>
      <c r="AY146" s="234">
        <v>15</v>
      </c>
      <c r="AZ146" s="234" t="s">
        <v>1551</v>
      </c>
      <c r="BA146" s="234">
        <v>1</v>
      </c>
      <c r="BB146" s="234">
        <v>-2</v>
      </c>
      <c r="BC146" s="234">
        <v>4</v>
      </c>
      <c r="BD146" s="234">
        <v>120</v>
      </c>
      <c r="BE146" s="375">
        <f t="shared" si="115"/>
        <v>21</v>
      </c>
      <c r="BF146" s="234">
        <v>27</v>
      </c>
      <c r="BG146" s="233"/>
      <c r="BH146" s="29"/>
      <c r="BI146" s="36"/>
      <c r="BJ146" s="408"/>
      <c r="BK146" s="408"/>
      <c r="BL146" s="408"/>
      <c r="BM146" s="408"/>
      <c r="BN146" s="233"/>
      <c r="BO146" s="233"/>
      <c r="BP146" s="233"/>
      <c r="BQ146" s="233"/>
      <c r="BR146" s="233"/>
      <c r="BS146" s="233"/>
      <c r="BT146" s="233"/>
      <c r="BU146" s="233"/>
      <c r="BV146" s="233"/>
      <c r="BW146" s="233"/>
      <c r="BX146" s="233"/>
      <c r="BY146" s="233"/>
      <c r="BZ146" s="233"/>
      <c r="CG146" s="233"/>
      <c r="CH146" s="233"/>
      <c r="CI146" s="233"/>
      <c r="CJ146" s="233"/>
      <c r="CK146" s="233"/>
      <c r="CL146" s="233"/>
      <c r="CM146" s="233"/>
      <c r="CN146" s="233"/>
      <c r="CO146" s="233"/>
      <c r="CP146" s="233"/>
      <c r="CQ146" s="233"/>
      <c r="CR146" s="233"/>
      <c r="CS146" s="233"/>
      <c r="CT146" s="233"/>
      <c r="CU146" s="233"/>
      <c r="CV146" s="233"/>
      <c r="CW146" s="233"/>
      <c r="CX146" s="233"/>
      <c r="CY146" s="233"/>
      <c r="CZ146" s="233"/>
      <c r="DA146" s="233"/>
      <c r="DB146" s="233"/>
      <c r="DC146" s="233"/>
      <c r="DD146" s="233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81" t="s">
        <v>1366</v>
      </c>
      <c r="DX146" s="279" t="s">
        <v>1364</v>
      </c>
      <c r="DY146" s="280">
        <v>3600</v>
      </c>
      <c r="DZ146" s="308" t="s">
        <v>1365</v>
      </c>
      <c r="EA146" s="308">
        <v>-2</v>
      </c>
      <c r="EB146" s="428"/>
      <c r="EC146" s="428"/>
      <c r="ED146" s="428"/>
      <c r="EE146" s="428"/>
      <c r="EF146" s="428"/>
      <c r="EG146" s="428"/>
      <c r="EH146" s="428"/>
      <c r="EI146" s="428"/>
      <c r="EJ146" s="428"/>
      <c r="EK146" s="428"/>
      <c r="EL146" s="428"/>
      <c r="EM146" s="428"/>
      <c r="EN146" s="29"/>
      <c r="EO146" s="29"/>
      <c r="EP146" s="29"/>
      <c r="EQ146" s="29"/>
      <c r="ER146" s="29"/>
      <c r="ES146" s="29"/>
      <c r="ET146" s="29"/>
      <c r="EU146" s="29"/>
      <c r="EV146" s="30"/>
      <c r="EW146" s="30"/>
      <c r="EX146" s="30"/>
      <c r="EY146" s="30"/>
      <c r="EZ146" s="30"/>
      <c r="FA146" s="30"/>
      <c r="FB146" s="30"/>
      <c r="FC146" s="30"/>
      <c r="FD146" s="30"/>
      <c r="FE146" s="30"/>
      <c r="FF146" s="30"/>
      <c r="FG146" s="30"/>
      <c r="FH146" s="30"/>
      <c r="FI146" s="30"/>
      <c r="FJ146" s="30"/>
      <c r="FK146" s="30"/>
      <c r="FL146" s="30"/>
    </row>
    <row r="147" spans="1:168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233"/>
      <c r="W147" s="233"/>
      <c r="X147" s="233"/>
      <c r="Y147" s="233"/>
      <c r="Z147" s="233"/>
      <c r="AA147" s="233"/>
      <c r="AB147" s="233"/>
      <c r="AC147" s="233"/>
      <c r="AD147" s="233"/>
      <c r="AE147" s="233"/>
      <c r="AF147" s="233"/>
      <c r="AG147" s="233"/>
      <c r="AH147" s="233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>
        <v>18</v>
      </c>
      <c r="AT147" s="234" t="s">
        <v>1532</v>
      </c>
      <c r="AU147" s="234" t="s">
        <v>840</v>
      </c>
      <c r="AV147" s="234" t="s">
        <v>835</v>
      </c>
      <c r="AW147" s="234">
        <v>20</v>
      </c>
      <c r="AX147" s="234">
        <v>2</v>
      </c>
      <c r="AY147" s="234">
        <v>14</v>
      </c>
      <c r="AZ147" s="234" t="s">
        <v>909</v>
      </c>
      <c r="BA147" s="234">
        <v>5</v>
      </c>
      <c r="BB147" s="234">
        <v>-1</v>
      </c>
      <c r="BC147" s="234">
        <v>40</v>
      </c>
      <c r="BD147" s="234">
        <v>150</v>
      </c>
      <c r="BE147" s="375">
        <f t="shared" si="115"/>
        <v>21</v>
      </c>
      <c r="BF147" s="234">
        <v>27</v>
      </c>
      <c r="BG147" s="233"/>
      <c r="BH147" s="29"/>
      <c r="BI147" s="36"/>
      <c r="BJ147" s="408"/>
      <c r="BK147" s="408"/>
      <c r="BL147" s="408"/>
      <c r="BM147" s="408"/>
      <c r="BN147" s="233"/>
      <c r="BO147" s="233"/>
      <c r="BP147" s="233"/>
      <c r="BQ147" s="233"/>
      <c r="BR147" s="233"/>
      <c r="BS147" s="233"/>
      <c r="BT147" s="233"/>
      <c r="BU147" s="233"/>
      <c r="BV147" s="233"/>
      <c r="BW147" s="233"/>
      <c r="BX147" s="233"/>
      <c r="BY147" s="233"/>
      <c r="BZ147" s="233"/>
      <c r="CG147" s="233"/>
      <c r="CH147" s="233"/>
      <c r="CI147" s="233"/>
      <c r="CJ147" s="233"/>
      <c r="CK147" s="233"/>
      <c r="CL147" s="233"/>
      <c r="CM147" s="233"/>
      <c r="CN147" s="233"/>
      <c r="CO147" s="233"/>
      <c r="CP147" s="233"/>
      <c r="CQ147" s="233"/>
      <c r="CR147" s="233"/>
      <c r="CS147" s="233"/>
      <c r="CT147" s="233"/>
      <c r="CU147" s="233"/>
      <c r="CV147" s="233"/>
      <c r="CW147" s="233"/>
      <c r="CX147" s="233"/>
      <c r="CY147" s="233"/>
      <c r="CZ147" s="233"/>
      <c r="DA147" s="233"/>
      <c r="DB147" s="233"/>
      <c r="DC147" s="233"/>
      <c r="DD147" s="233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79" t="s">
        <v>1368</v>
      </c>
      <c r="DX147" s="281"/>
      <c r="DY147" s="309"/>
      <c r="DZ147" s="607" t="s">
        <v>1367</v>
      </c>
      <c r="EA147" s="309"/>
      <c r="EB147" s="428"/>
      <c r="EC147" s="428"/>
      <c r="ED147" s="428"/>
      <c r="EE147" s="428"/>
      <c r="EF147" s="428"/>
      <c r="EG147" s="428"/>
      <c r="EH147" s="428"/>
      <c r="EI147" s="428"/>
      <c r="EJ147" s="428"/>
      <c r="EK147" s="428"/>
      <c r="EL147" s="428"/>
      <c r="EM147" s="428"/>
      <c r="EN147" s="29"/>
      <c r="EO147" s="29"/>
      <c r="EP147" s="29"/>
      <c r="EQ147" s="29"/>
      <c r="ER147" s="29"/>
      <c r="ES147" s="29"/>
      <c r="ET147" s="29"/>
      <c r="EU147" s="29"/>
      <c r="EV147" s="30"/>
      <c r="EW147" s="30"/>
      <c r="EX147" s="30"/>
      <c r="EY147" s="30"/>
      <c r="EZ147" s="30"/>
      <c r="FA147" s="30"/>
      <c r="FB147" s="30"/>
      <c r="FC147" s="30"/>
      <c r="FD147" s="30"/>
      <c r="FE147" s="30"/>
      <c r="FF147" s="30"/>
      <c r="FG147" s="30"/>
      <c r="FH147" s="30"/>
      <c r="FI147" s="30"/>
      <c r="FJ147" s="30"/>
      <c r="FK147" s="30"/>
      <c r="FL147" s="30"/>
    </row>
    <row r="148" spans="1:168" ht="21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233"/>
      <c r="W148" s="233"/>
      <c r="X148" s="233"/>
      <c r="Y148" s="233"/>
      <c r="Z148" s="233"/>
      <c r="AA148" s="233"/>
      <c r="AB148" s="233"/>
      <c r="AC148" s="233"/>
      <c r="AD148" s="233"/>
      <c r="AE148" s="233"/>
      <c r="AF148" s="233"/>
      <c r="AG148" s="233"/>
      <c r="AH148" s="233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>
        <v>19</v>
      </c>
      <c r="AT148" s="234" t="s">
        <v>1533</v>
      </c>
      <c r="AU148" s="234" t="s">
        <v>819</v>
      </c>
      <c r="AV148" s="234" t="s">
        <v>475</v>
      </c>
      <c r="AW148" s="234">
        <v>20</v>
      </c>
      <c r="AX148" s="234">
        <v>2</v>
      </c>
      <c r="AY148" s="234">
        <v>14</v>
      </c>
      <c r="AZ148" s="234" t="s">
        <v>1551</v>
      </c>
      <c r="BA148" s="234">
        <v>1</v>
      </c>
      <c r="BB148" s="234">
        <v>-2</v>
      </c>
      <c r="BC148" s="234">
        <v>4</v>
      </c>
      <c r="BD148" s="234">
        <v>200</v>
      </c>
      <c r="BE148" s="375">
        <f t="shared" si="115"/>
        <v>15</v>
      </c>
      <c r="BF148" s="234">
        <v>21</v>
      </c>
      <c r="BG148" s="233"/>
      <c r="BH148" s="29"/>
      <c r="BI148" s="36"/>
      <c r="BJ148" s="408"/>
      <c r="BK148" s="408"/>
      <c r="BL148" s="408"/>
      <c r="BM148" s="408"/>
      <c r="BN148" s="233"/>
      <c r="BO148" s="233"/>
      <c r="BP148" s="233"/>
      <c r="BQ148" s="233"/>
      <c r="BR148" s="233"/>
      <c r="BS148" s="233"/>
      <c r="BT148" s="233"/>
      <c r="BU148" s="233"/>
      <c r="BV148" s="233"/>
      <c r="BW148" s="233"/>
      <c r="BX148" s="233"/>
      <c r="BY148" s="233"/>
      <c r="BZ148" s="233"/>
      <c r="CG148" s="233"/>
      <c r="CH148" s="233"/>
      <c r="CI148" s="233"/>
      <c r="CJ148" s="233"/>
      <c r="CK148" s="233"/>
      <c r="CL148" s="233"/>
      <c r="CM148" s="233"/>
      <c r="CN148" s="233"/>
      <c r="CO148" s="233"/>
      <c r="CP148" s="233"/>
      <c r="CQ148" s="233"/>
      <c r="CR148" s="233"/>
      <c r="CS148" s="233"/>
      <c r="CT148" s="233"/>
      <c r="CU148" s="233"/>
      <c r="CV148" s="233"/>
      <c r="CW148" s="233"/>
      <c r="CX148" s="233"/>
      <c r="CY148" s="233"/>
      <c r="CZ148" s="233"/>
      <c r="DA148" s="233"/>
      <c r="DB148" s="233"/>
      <c r="DC148" s="233"/>
      <c r="DD148" s="233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  <c r="DP148" s="29"/>
      <c r="DQ148" s="29"/>
      <c r="DR148" s="29"/>
      <c r="DS148" s="29"/>
      <c r="DT148" s="29"/>
      <c r="DU148" s="29"/>
      <c r="DV148" s="29"/>
      <c r="DW148" s="281" t="s">
        <v>1370</v>
      </c>
      <c r="DX148" s="281" t="s">
        <v>1366</v>
      </c>
      <c r="DY148" s="311">
        <v>4000</v>
      </c>
      <c r="DZ148" s="607"/>
      <c r="EA148" s="309">
        <v>-2</v>
      </c>
      <c r="EB148" s="428"/>
      <c r="EC148" s="428"/>
      <c r="ED148" s="428"/>
      <c r="EE148" s="428"/>
      <c r="EF148" s="428"/>
      <c r="EG148" s="428"/>
      <c r="EH148" s="428"/>
      <c r="EI148" s="428"/>
      <c r="EJ148" s="428"/>
      <c r="EK148" s="428"/>
      <c r="EL148" s="428"/>
      <c r="EM148" s="428"/>
      <c r="EN148" s="29"/>
      <c r="EO148" s="29"/>
      <c r="EP148" s="29"/>
      <c r="EQ148" s="29"/>
      <c r="ER148" s="29"/>
      <c r="ES148" s="29"/>
      <c r="ET148" s="29"/>
      <c r="EU148" s="29"/>
      <c r="EV148" s="30"/>
      <c r="EW148" s="30"/>
      <c r="EX148" s="30"/>
      <c r="EY148" s="30"/>
      <c r="EZ148" s="30"/>
      <c r="FA148" s="30"/>
      <c r="FB148" s="30"/>
      <c r="FC148" s="30"/>
      <c r="FD148" s="30"/>
      <c r="FE148" s="30"/>
      <c r="FF148" s="30"/>
      <c r="FG148" s="30"/>
      <c r="FH148" s="30"/>
      <c r="FI148" s="30"/>
      <c r="FJ148" s="30"/>
      <c r="FK148" s="30"/>
      <c r="FL148" s="30"/>
    </row>
    <row r="149" spans="1:168" ht="24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233"/>
      <c r="W149" s="233"/>
      <c r="X149" s="233"/>
      <c r="Y149" s="233"/>
      <c r="Z149" s="233"/>
      <c r="AA149" s="233"/>
      <c r="AB149" s="233"/>
      <c r="AC149" s="233"/>
      <c r="AD149" s="233"/>
      <c r="AE149" s="233"/>
      <c r="AF149" s="233"/>
      <c r="AG149" s="233"/>
      <c r="AH149" s="233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>
        <v>20</v>
      </c>
      <c r="AT149" s="233" t="s">
        <v>1434</v>
      </c>
      <c r="AU149" s="233"/>
      <c r="AV149" s="233"/>
      <c r="AW149" s="233"/>
      <c r="AX149" s="233"/>
      <c r="AY149" s="233"/>
      <c r="AZ149" s="233"/>
      <c r="BA149" s="233"/>
      <c r="BB149" s="233"/>
      <c r="BC149" s="233"/>
      <c r="BD149" s="233"/>
      <c r="BE149" s="233"/>
      <c r="BF149" s="233"/>
      <c r="BG149" s="233"/>
      <c r="BH149" s="29"/>
      <c r="BI149" s="36"/>
      <c r="BJ149" s="408"/>
      <c r="BK149" s="408"/>
      <c r="BL149" s="408"/>
      <c r="BM149" s="408"/>
      <c r="BN149" s="233"/>
      <c r="BO149" s="233"/>
      <c r="BP149" s="233"/>
      <c r="BQ149" s="233"/>
      <c r="BR149" s="233"/>
      <c r="BS149" s="233"/>
      <c r="BT149" s="233"/>
      <c r="BU149" s="233"/>
      <c r="BV149" s="233"/>
      <c r="BW149" s="233"/>
      <c r="BX149" s="233"/>
      <c r="BY149" s="233"/>
      <c r="BZ149" s="233"/>
      <c r="CG149" s="233"/>
      <c r="CH149" s="233"/>
      <c r="CI149" s="233"/>
      <c r="CJ149" s="233"/>
      <c r="CK149" s="233"/>
      <c r="CL149" s="233"/>
      <c r="CM149" s="233"/>
      <c r="CN149" s="233"/>
      <c r="CO149" s="233"/>
      <c r="CP149" s="233"/>
      <c r="CQ149" s="233"/>
      <c r="CR149" s="233"/>
      <c r="CS149" s="233"/>
      <c r="CT149" s="233"/>
      <c r="CU149" s="233"/>
      <c r="CV149" s="233"/>
      <c r="CW149" s="233"/>
      <c r="CX149" s="233"/>
      <c r="CY149" s="233"/>
      <c r="CZ149" s="233"/>
      <c r="DA149" s="233"/>
      <c r="DB149" s="233"/>
      <c r="DC149" s="233"/>
      <c r="DD149" s="233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83" t="s">
        <v>1372</v>
      </c>
      <c r="DX149" s="279" t="s">
        <v>1368</v>
      </c>
      <c r="DY149" s="280">
        <v>5000</v>
      </c>
      <c r="DZ149" s="308" t="s">
        <v>1369</v>
      </c>
      <c r="EA149" s="308">
        <v>-2</v>
      </c>
      <c r="EB149" s="428"/>
      <c r="EC149" s="428"/>
      <c r="ED149" s="428"/>
      <c r="EE149" s="428"/>
      <c r="EF149" s="428"/>
      <c r="EG149" s="428"/>
      <c r="EH149" s="428"/>
      <c r="EI149" s="428"/>
      <c r="EJ149" s="428"/>
      <c r="EK149" s="428"/>
      <c r="EL149" s="428"/>
      <c r="EM149" s="428"/>
      <c r="EN149" s="29"/>
      <c r="EO149" s="29"/>
      <c r="EP149" s="29"/>
      <c r="EQ149" s="29"/>
      <c r="ER149" s="29"/>
      <c r="ES149" s="29"/>
      <c r="ET149" s="29"/>
      <c r="EU149" s="29"/>
      <c r="EV149" s="30"/>
      <c r="EW149" s="30"/>
      <c r="EX149" s="30"/>
      <c r="EY149" s="30"/>
      <c r="EZ149" s="30"/>
      <c r="FA149" s="30"/>
      <c r="FB149" s="30"/>
      <c r="FC149" s="30"/>
      <c r="FD149" s="30"/>
      <c r="FE149" s="30"/>
      <c r="FF149" s="30"/>
      <c r="FG149" s="30"/>
      <c r="FH149" s="30"/>
      <c r="FI149" s="30"/>
      <c r="FJ149" s="30"/>
      <c r="FK149" s="30"/>
      <c r="FL149" s="30"/>
    </row>
    <row r="150" spans="1:168" ht="1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233"/>
      <c r="W150" s="233"/>
      <c r="X150" s="233"/>
      <c r="Y150" s="233"/>
      <c r="Z150" s="233"/>
      <c r="AA150" s="233"/>
      <c r="AB150" s="233"/>
      <c r="AC150" s="233"/>
      <c r="AD150" s="233"/>
      <c r="AE150" s="233"/>
      <c r="AF150" s="233"/>
      <c r="AG150" s="233"/>
      <c r="AH150" s="233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>
        <v>21</v>
      </c>
      <c r="AT150" s="233" t="s">
        <v>1434</v>
      </c>
      <c r="AU150" s="233"/>
      <c r="AV150" s="233"/>
      <c r="AW150" s="233"/>
      <c r="AX150" s="233"/>
      <c r="AY150" s="233"/>
      <c r="AZ150" s="233"/>
      <c r="BA150" s="233"/>
      <c r="BB150" s="233"/>
      <c r="BC150" s="233"/>
      <c r="BD150" s="233"/>
      <c r="BE150" s="233"/>
      <c r="BF150" s="233"/>
      <c r="BG150" s="233"/>
      <c r="BH150" s="29"/>
      <c r="BI150" s="36"/>
      <c r="BJ150" s="408"/>
      <c r="BK150" s="408"/>
      <c r="BL150" s="408"/>
      <c r="BM150" s="408"/>
      <c r="BN150" s="233"/>
      <c r="BO150" s="233"/>
      <c r="BP150" s="233"/>
      <c r="BQ150" s="233"/>
      <c r="BR150" s="233"/>
      <c r="BS150" s="233"/>
      <c r="BT150" s="233"/>
      <c r="BU150" s="233"/>
      <c r="BV150" s="233"/>
      <c r="BW150" s="233"/>
      <c r="BX150" s="233"/>
      <c r="BY150" s="233"/>
      <c r="BZ150" s="233"/>
      <c r="CG150" s="233"/>
      <c r="CH150" s="233"/>
      <c r="CI150" s="233"/>
      <c r="CJ150" s="233"/>
      <c r="CK150" s="233"/>
      <c r="CL150" s="233"/>
      <c r="CM150" s="233"/>
      <c r="CN150" s="233"/>
      <c r="CO150" s="233"/>
      <c r="CP150" s="233"/>
      <c r="CQ150" s="233"/>
      <c r="CR150" s="233"/>
      <c r="CS150" s="233"/>
      <c r="CT150" s="233"/>
      <c r="CU150" s="233"/>
      <c r="CV150" s="233"/>
      <c r="CW150" s="233"/>
      <c r="CX150" s="233"/>
      <c r="CY150" s="233"/>
      <c r="CZ150" s="233"/>
      <c r="DA150" s="233"/>
      <c r="DB150" s="233"/>
      <c r="DC150" s="233"/>
      <c r="DD150" s="233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  <c r="DP150" s="29"/>
      <c r="DQ150" s="29"/>
      <c r="DR150" s="29"/>
      <c r="DS150" s="29"/>
      <c r="DT150" s="29"/>
      <c r="DU150" s="29"/>
      <c r="DV150" s="29"/>
      <c r="DW150" s="329" t="s">
        <v>1374</v>
      </c>
      <c r="DX150" s="281" t="s">
        <v>1370</v>
      </c>
      <c r="DY150" s="311">
        <v>5500</v>
      </c>
      <c r="DZ150" s="309" t="s">
        <v>1371</v>
      </c>
      <c r="EA150" s="309">
        <v>-1.5</v>
      </c>
      <c r="EB150" s="428"/>
      <c r="EC150" s="428"/>
      <c r="ED150" s="428"/>
      <c r="EE150" s="428"/>
      <c r="EF150" s="428"/>
      <c r="EG150" s="428"/>
      <c r="EH150" s="428"/>
      <c r="EI150" s="428"/>
      <c r="EJ150" s="428"/>
      <c r="EK150" s="428"/>
      <c r="EL150" s="428"/>
      <c r="EM150" s="428"/>
      <c r="EN150" s="29"/>
      <c r="EO150" s="29"/>
      <c r="EP150" s="29"/>
      <c r="EQ150" s="29"/>
      <c r="ER150" s="29"/>
      <c r="ES150" s="29"/>
      <c r="ET150" s="29"/>
      <c r="EU150" s="29"/>
      <c r="EV150" s="30"/>
      <c r="EW150" s="30"/>
      <c r="EX150" s="30"/>
      <c r="EY150" s="30"/>
      <c r="EZ150" s="30"/>
      <c r="FA150" s="30"/>
      <c r="FB150" s="30"/>
      <c r="FC150" s="30"/>
      <c r="FD150" s="30"/>
      <c r="FE150" s="30"/>
      <c r="FF150" s="30"/>
      <c r="FG150" s="30"/>
      <c r="FH150" s="30"/>
      <c r="FI150" s="30"/>
      <c r="FJ150" s="30"/>
      <c r="FK150" s="30"/>
      <c r="FL150" s="30"/>
    </row>
    <row r="151" spans="1:168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233"/>
      <c r="W151" s="233"/>
      <c r="X151" s="233"/>
      <c r="Y151" s="233"/>
      <c r="Z151" s="233"/>
      <c r="AA151" s="233"/>
      <c r="AB151" s="233"/>
      <c r="AC151" s="233"/>
      <c r="AD151" s="233"/>
      <c r="AE151" s="233"/>
      <c r="AF151" s="233"/>
      <c r="AG151" s="233"/>
      <c r="AH151" s="233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>
        <v>22</v>
      </c>
      <c r="AT151" s="233" t="s">
        <v>1434</v>
      </c>
      <c r="AU151" s="233"/>
      <c r="AV151" s="233"/>
      <c r="AW151" s="233"/>
      <c r="AX151" s="233"/>
      <c r="AY151" s="233"/>
      <c r="AZ151" s="233"/>
      <c r="BA151" s="233"/>
      <c r="BB151" s="233"/>
      <c r="BC151" s="233"/>
      <c r="BD151" s="233"/>
      <c r="BE151" s="233"/>
      <c r="BF151" s="233"/>
      <c r="BG151" s="233"/>
      <c r="BH151" s="29"/>
      <c r="BI151" s="36"/>
      <c r="BJ151" s="408"/>
      <c r="BK151" s="408"/>
      <c r="BL151" s="408"/>
      <c r="BM151" s="408"/>
      <c r="BN151" s="233"/>
      <c r="BO151" s="233"/>
      <c r="BP151" s="233"/>
      <c r="BQ151" s="233"/>
      <c r="BR151" s="233"/>
      <c r="BS151" s="233"/>
      <c r="BT151" s="233"/>
      <c r="BU151" s="233"/>
      <c r="BV151" s="233"/>
      <c r="BW151" s="233"/>
      <c r="BX151" s="233"/>
      <c r="BY151" s="233"/>
      <c r="BZ151" s="233"/>
      <c r="CG151" s="233"/>
      <c r="CH151" s="233"/>
      <c r="CI151" s="233"/>
      <c r="CJ151" s="233"/>
      <c r="CK151" s="233"/>
      <c r="CL151" s="233"/>
      <c r="CM151" s="233"/>
      <c r="CN151" s="233"/>
      <c r="CO151" s="233"/>
      <c r="CP151" s="233"/>
      <c r="CQ151" s="233"/>
      <c r="CR151" s="233"/>
      <c r="CS151" s="233"/>
      <c r="CT151" s="233"/>
      <c r="CU151" s="233"/>
      <c r="CV151" s="233"/>
      <c r="CW151" s="233"/>
      <c r="CX151" s="233"/>
      <c r="CY151" s="233"/>
      <c r="CZ151" s="233"/>
      <c r="DA151" s="233"/>
      <c r="DB151" s="233"/>
      <c r="DC151" s="233"/>
      <c r="DD151" s="233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  <c r="DO151" s="29"/>
      <c r="DP151" s="29"/>
      <c r="DQ151" s="29"/>
      <c r="DR151" s="29"/>
      <c r="DS151" s="29"/>
      <c r="DT151" s="29"/>
      <c r="DU151" s="29"/>
      <c r="DV151" s="29"/>
      <c r="DW151" s="283" t="s">
        <v>1375</v>
      </c>
      <c r="DX151" s="283" t="s">
        <v>1372</v>
      </c>
      <c r="DY151" s="280">
        <v>9500</v>
      </c>
      <c r="DZ151" s="308" t="s">
        <v>1373</v>
      </c>
      <c r="EA151" s="308">
        <v>-1</v>
      </c>
      <c r="EB151" s="428"/>
      <c r="EC151" s="428"/>
      <c r="ED151" s="428"/>
      <c r="EE151" s="428"/>
      <c r="EF151" s="428"/>
      <c r="EG151" s="428"/>
      <c r="EH151" s="428"/>
      <c r="EI151" s="428"/>
      <c r="EJ151" s="428"/>
      <c r="EK151" s="428"/>
      <c r="EL151" s="428"/>
      <c r="EM151" s="428"/>
      <c r="EN151" s="29"/>
      <c r="EO151" s="29"/>
      <c r="EP151" s="29"/>
      <c r="EQ151" s="29"/>
      <c r="ER151" s="29"/>
      <c r="ES151" s="29"/>
      <c r="ET151" s="29"/>
      <c r="EU151" s="29"/>
      <c r="EV151" s="30"/>
      <c r="EW151" s="30"/>
      <c r="EX151" s="30"/>
      <c r="EY151" s="30"/>
      <c r="EZ151" s="30"/>
      <c r="FA151" s="30"/>
      <c r="FB151" s="30"/>
      <c r="FC151" s="30"/>
      <c r="FD151" s="30"/>
      <c r="FE151" s="30"/>
      <c r="FF151" s="30"/>
      <c r="FG151" s="30"/>
      <c r="FH151" s="30"/>
      <c r="FI151" s="30"/>
      <c r="FJ151" s="30"/>
      <c r="FK151" s="30"/>
      <c r="FL151" s="30"/>
    </row>
    <row r="152" spans="1:168" ht="1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233"/>
      <c r="W152" s="233"/>
      <c r="X152" s="233"/>
      <c r="Y152" s="233"/>
      <c r="Z152" s="233"/>
      <c r="AA152" s="233"/>
      <c r="AB152" s="233"/>
      <c r="AC152" s="233"/>
      <c r="AD152" s="233"/>
      <c r="AE152" s="233"/>
      <c r="AF152" s="233"/>
      <c r="AG152" s="233"/>
      <c r="AH152" s="233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>
        <v>23</v>
      </c>
      <c r="AT152" s="233" t="s">
        <v>1434</v>
      </c>
      <c r="AU152" s="233"/>
      <c r="AV152" s="233"/>
      <c r="AW152" s="233"/>
      <c r="AX152" s="233"/>
      <c r="AY152" s="233"/>
      <c r="AZ152" s="233"/>
      <c r="BA152" s="233"/>
      <c r="BB152" s="233"/>
      <c r="BC152" s="233"/>
      <c r="BD152" s="233"/>
      <c r="BE152" s="233"/>
      <c r="BF152" s="233"/>
      <c r="BG152" s="233"/>
      <c r="BH152" s="29"/>
      <c r="BI152" s="36"/>
      <c r="BJ152" s="408"/>
      <c r="BK152" s="408"/>
      <c r="BL152" s="408"/>
      <c r="BM152" s="408"/>
      <c r="BN152" s="233"/>
      <c r="BO152" s="233"/>
      <c r="BP152" s="233"/>
      <c r="BQ152" s="233"/>
      <c r="BR152" s="233"/>
      <c r="BS152" s="233"/>
      <c r="BT152" s="233"/>
      <c r="BU152" s="233"/>
      <c r="BV152" s="233"/>
      <c r="BW152" s="233"/>
      <c r="BX152" s="233"/>
      <c r="BY152" s="233"/>
      <c r="BZ152" s="233"/>
      <c r="CG152" s="233"/>
      <c r="CH152" s="233"/>
      <c r="CI152" s="233"/>
      <c r="CJ152" s="233"/>
      <c r="CK152" s="233"/>
      <c r="CL152" s="233"/>
      <c r="CM152" s="233"/>
      <c r="CN152" s="233"/>
      <c r="CO152" s="233"/>
      <c r="CP152" s="233"/>
      <c r="CQ152" s="233"/>
      <c r="CR152" s="233"/>
      <c r="CS152" s="233"/>
      <c r="CT152" s="233"/>
      <c r="CU152" s="233"/>
      <c r="CV152" s="233"/>
      <c r="CW152" s="233"/>
      <c r="CX152" s="233"/>
      <c r="CY152" s="233"/>
      <c r="CZ152" s="233"/>
      <c r="DA152" s="233"/>
      <c r="DB152" s="233"/>
      <c r="DC152" s="233"/>
      <c r="DD152" s="233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  <c r="DO152" s="29"/>
      <c r="DP152" s="29"/>
      <c r="DQ152" s="29"/>
      <c r="DR152" s="29"/>
      <c r="DS152" s="29"/>
      <c r="DT152" s="29"/>
      <c r="DU152" s="29"/>
      <c r="DV152" s="29"/>
      <c r="DW152" s="310" t="s">
        <v>1377</v>
      </c>
      <c r="DX152" s="282" t="s">
        <v>1374</v>
      </c>
      <c r="DY152" s="309"/>
      <c r="DZ152" s="309"/>
      <c r="EA152" s="309"/>
      <c r="EB152" s="428"/>
      <c r="EC152" s="428"/>
      <c r="ED152" s="428"/>
      <c r="EE152" s="428"/>
      <c r="EF152" s="428"/>
      <c r="EG152" s="428"/>
      <c r="EH152" s="428"/>
      <c r="EI152" s="428"/>
      <c r="EJ152" s="428"/>
      <c r="EK152" s="428"/>
      <c r="EL152" s="428"/>
      <c r="EM152" s="428"/>
      <c r="EN152" s="29"/>
      <c r="EO152" s="29"/>
      <c r="EP152" s="29"/>
      <c r="EQ152" s="29"/>
      <c r="ER152" s="29"/>
      <c r="ES152" s="29"/>
      <c r="ET152" s="29"/>
      <c r="EU152" s="29"/>
      <c r="EV152" s="30"/>
      <c r="EW152" s="30"/>
      <c r="EX152" s="30"/>
      <c r="EY152" s="30"/>
      <c r="EZ152" s="30"/>
      <c r="FA152" s="30"/>
      <c r="FB152" s="30"/>
      <c r="FC152" s="30"/>
      <c r="FD152" s="30"/>
      <c r="FE152" s="30"/>
      <c r="FF152" s="30"/>
      <c r="FG152" s="30"/>
      <c r="FH152" s="30"/>
      <c r="FI152" s="30"/>
      <c r="FJ152" s="30"/>
      <c r="FK152" s="30"/>
      <c r="FL152" s="30"/>
    </row>
    <row r="153" spans="1:168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233"/>
      <c r="W153" s="233"/>
      <c r="X153" s="233"/>
      <c r="Y153" s="233"/>
      <c r="Z153" s="233"/>
      <c r="AA153" s="233"/>
      <c r="AB153" s="233"/>
      <c r="AC153" s="233"/>
      <c r="AD153" s="233"/>
      <c r="AE153" s="233"/>
      <c r="AF153" s="233"/>
      <c r="AG153" s="233"/>
      <c r="AH153" s="233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 t="s">
        <v>1562</v>
      </c>
      <c r="AT153" s="371" t="str">
        <f>IF($C$42=$AH$5,$G$42," ")</f>
        <v xml:space="preserve"> </v>
      </c>
      <c r="AU153" s="371">
        <f t="shared" ref="AU153:BF153" si="116">IF($AT$153=$AT$130,AU130,IF($AT$153=$AT$131,AU131,IF($AT$153=$AT$132,AU132,IF($AT$153=$AT$133,AU133,IF($AT$153=$AT$134,AU134,IF($AT$153=$AT$135,AU135,IF($AT$153=$AT$136,AU136,IF($AT$153=$AT$137,AU137,IF($AT$153=$AT$138,AU138,IF($AT$153=$AT$139,AU139,IF($AT$153=$AT$140,AU140,IF($AT$153=$AT$141,AU141,IF($AT$153=$AT$143,AU143,IF($AT$153=$AT$144,AU144,IF($AT$153=$AT$145,AU145,IF($AT$153=$AT$146,AU146,IF($AT$153=$AT$147,AU147,IF($AT$153=$AT$148,AU148,0))))))))))))))))))</f>
        <v>0</v>
      </c>
      <c r="AV153" s="371">
        <f t="shared" si="116"/>
        <v>0</v>
      </c>
      <c r="AW153" s="371">
        <f t="shared" si="116"/>
        <v>0</v>
      </c>
      <c r="AX153" s="371">
        <f t="shared" si="116"/>
        <v>0</v>
      </c>
      <c r="AY153" s="371">
        <f t="shared" si="116"/>
        <v>0</v>
      </c>
      <c r="AZ153" s="371">
        <f t="shared" si="116"/>
        <v>0</v>
      </c>
      <c r="BA153" s="371">
        <f t="shared" si="116"/>
        <v>0</v>
      </c>
      <c r="BB153" s="371">
        <f t="shared" si="116"/>
        <v>0</v>
      </c>
      <c r="BC153" s="371">
        <f t="shared" si="116"/>
        <v>0</v>
      </c>
      <c r="BD153" s="371">
        <f t="shared" si="116"/>
        <v>0</v>
      </c>
      <c r="BE153" s="371">
        <f t="shared" si="116"/>
        <v>0</v>
      </c>
      <c r="BF153" s="371">
        <f t="shared" si="116"/>
        <v>0</v>
      </c>
      <c r="BG153" s="233"/>
      <c r="BH153" s="29"/>
      <c r="BI153" s="36"/>
      <c r="BJ153" s="408"/>
      <c r="BK153" s="408"/>
      <c r="BL153" s="408"/>
      <c r="BM153" s="408"/>
      <c r="BN153" s="233"/>
      <c r="BO153" s="233"/>
      <c r="BP153" s="233"/>
      <c r="BQ153" s="233"/>
      <c r="BR153" s="233"/>
      <c r="BS153" s="233"/>
      <c r="BT153" s="233"/>
      <c r="BU153" s="233"/>
      <c r="BV153" s="233"/>
      <c r="BW153" s="233"/>
      <c r="BX153" s="233"/>
      <c r="BY153" s="233"/>
      <c r="BZ153" s="233"/>
      <c r="CG153" s="233"/>
      <c r="CH153" s="233"/>
      <c r="CI153" s="233"/>
      <c r="CJ153" s="233"/>
      <c r="CK153" s="233"/>
      <c r="CL153" s="233"/>
      <c r="CM153" s="233"/>
      <c r="CN153" s="233"/>
      <c r="CO153" s="233"/>
      <c r="CP153" s="233"/>
      <c r="CQ153" s="233"/>
      <c r="CR153" s="233"/>
      <c r="CS153" s="233"/>
      <c r="CT153" s="233"/>
      <c r="CU153" s="233"/>
      <c r="CV153" s="233"/>
      <c r="CW153" s="233"/>
      <c r="CX153" s="233"/>
      <c r="CY153" s="233"/>
      <c r="CZ153" s="233"/>
      <c r="DA153" s="233"/>
      <c r="DB153" s="233"/>
      <c r="DC153" s="233"/>
      <c r="DD153" s="233"/>
      <c r="DE153" s="29"/>
      <c r="DF153" s="29"/>
      <c r="DG153" s="29"/>
      <c r="DH153" s="29"/>
      <c r="DI153" s="29"/>
      <c r="DJ153" s="29"/>
      <c r="DK153" s="29"/>
      <c r="DL153" s="29"/>
      <c r="DM153" s="29"/>
      <c r="DN153" s="29"/>
      <c r="DO153" s="29"/>
      <c r="DP153" s="29"/>
      <c r="DQ153" s="29"/>
      <c r="DR153" s="29"/>
      <c r="DS153" s="29"/>
      <c r="DT153" s="29"/>
      <c r="DU153" s="29"/>
      <c r="DV153" s="29"/>
      <c r="DW153" s="279" t="s">
        <v>1379</v>
      </c>
      <c r="DX153" s="283" t="s">
        <v>1375</v>
      </c>
      <c r="DY153" s="280">
        <v>1600</v>
      </c>
      <c r="DZ153" s="308" t="s">
        <v>1376</v>
      </c>
      <c r="EA153" s="308">
        <v>2</v>
      </c>
      <c r="EB153" s="428"/>
      <c r="EC153" s="428"/>
      <c r="ED153" s="428"/>
      <c r="EE153" s="428"/>
      <c r="EF153" s="428"/>
      <c r="EG153" s="428"/>
      <c r="EH153" s="428"/>
      <c r="EI153" s="428"/>
      <c r="EJ153" s="428"/>
      <c r="EK153" s="428"/>
      <c r="EL153" s="428"/>
      <c r="EM153" s="428"/>
      <c r="EN153" s="29"/>
      <c r="EO153" s="29"/>
      <c r="EP153" s="29"/>
      <c r="EQ153" s="29"/>
      <c r="ER153" s="29"/>
      <c r="ES153" s="29"/>
      <c r="ET153" s="29"/>
      <c r="EU153" s="29"/>
      <c r="EV153" s="30"/>
      <c r="EW153" s="30"/>
      <c r="EX153" s="30"/>
      <c r="EY153" s="30"/>
      <c r="EZ153" s="30"/>
      <c r="FA153" s="30"/>
      <c r="FB153" s="30"/>
      <c r="FC153" s="30"/>
      <c r="FD153" s="30"/>
      <c r="FE153" s="30"/>
      <c r="FF153" s="30"/>
      <c r="FG153" s="30"/>
      <c r="FH153" s="30"/>
      <c r="FI153" s="30"/>
      <c r="FJ153" s="30"/>
      <c r="FK153" s="30"/>
      <c r="FL153" s="30"/>
    </row>
    <row r="154" spans="1:168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233"/>
      <c r="W154" s="233"/>
      <c r="X154" s="233"/>
      <c r="Y154" s="233"/>
      <c r="Z154" s="233"/>
      <c r="AA154" s="233"/>
      <c r="AB154" s="233"/>
      <c r="AC154" s="233"/>
      <c r="AD154" s="233"/>
      <c r="AE154" s="233"/>
      <c r="AF154" s="233"/>
      <c r="AG154" s="233"/>
      <c r="AH154" s="233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 t="s">
        <v>1563</v>
      </c>
      <c r="AT154" s="371" t="str">
        <f>IF($C$54=$AH$5,$G$54," ")</f>
        <v xml:space="preserve"> </v>
      </c>
      <c r="AU154" s="371">
        <f t="shared" ref="AU154:BF154" si="117">IF($AT$154=$AT$130,AU130,IF($AT$154=$AT$131,AU131,IF($AT$154=$AT$132,AU132,IF($AT$154=$AT$133,AU133,IF($AT$154=$AT$134,AU134,IF($AT$154=$AT$135,AU135,IF($AT$154=$AT$136,AU136,IF($AT$154=$AT$137,AU137,IF($AT$154=$AT$138,AU138,IF($AT$154=$AT$139,AU139,IF($AT$154=$AT$140,AU140,IF($AT$154=$AT$141,AU141,IF($AT$154=$AT$143,AU143,IF($AT$154=$AT$144,AU144,IF($AT$154=$AT$145,AU145,IF($AT$154=$AT$146,AU146,IF($AT$154=$AT$147,AU147,IF($AT$154=$AT$148,AU148,0))))))))))))))))))</f>
        <v>0</v>
      </c>
      <c r="AV154" s="371">
        <f t="shared" si="117"/>
        <v>0</v>
      </c>
      <c r="AW154" s="371">
        <f t="shared" si="117"/>
        <v>0</v>
      </c>
      <c r="AX154" s="371">
        <f t="shared" si="117"/>
        <v>0</v>
      </c>
      <c r="AY154" s="371">
        <f t="shared" si="117"/>
        <v>0</v>
      </c>
      <c r="AZ154" s="371">
        <f t="shared" si="117"/>
        <v>0</v>
      </c>
      <c r="BA154" s="371">
        <f t="shared" si="117"/>
        <v>0</v>
      </c>
      <c r="BB154" s="371">
        <f t="shared" si="117"/>
        <v>0</v>
      </c>
      <c r="BC154" s="371">
        <f t="shared" si="117"/>
        <v>0</v>
      </c>
      <c r="BD154" s="371">
        <f t="shared" si="117"/>
        <v>0</v>
      </c>
      <c r="BE154" s="371">
        <f t="shared" si="117"/>
        <v>0</v>
      </c>
      <c r="BF154" s="371">
        <f t="shared" si="117"/>
        <v>0</v>
      </c>
      <c r="BG154" s="233"/>
      <c r="BH154" s="29"/>
      <c r="BI154" s="36"/>
      <c r="BJ154" s="408"/>
      <c r="BK154" s="408"/>
      <c r="BL154" s="408"/>
      <c r="BM154" s="408"/>
      <c r="BN154" s="233"/>
      <c r="BO154" s="233"/>
      <c r="BP154" s="233"/>
      <c r="BQ154" s="233"/>
      <c r="BR154" s="233"/>
      <c r="BS154" s="233"/>
      <c r="BT154" s="233"/>
      <c r="BU154" s="233"/>
      <c r="BV154" s="233"/>
      <c r="BW154" s="233"/>
      <c r="BX154" s="233"/>
      <c r="BY154" s="233"/>
      <c r="BZ154" s="233"/>
      <c r="CG154" s="233"/>
      <c r="CH154" s="233"/>
      <c r="CI154" s="233"/>
      <c r="CJ154" s="233"/>
      <c r="CK154" s="233"/>
      <c r="CL154" s="233"/>
      <c r="CM154" s="233"/>
      <c r="CN154" s="233"/>
      <c r="CO154" s="233"/>
      <c r="CP154" s="233"/>
      <c r="CQ154" s="233"/>
      <c r="CR154" s="233"/>
      <c r="CS154" s="233"/>
      <c r="CT154" s="233"/>
      <c r="CU154" s="233"/>
      <c r="CV154" s="233"/>
      <c r="CW154" s="233"/>
      <c r="CX154" s="233"/>
      <c r="CY154" s="233"/>
      <c r="CZ154" s="233"/>
      <c r="DA154" s="233"/>
      <c r="DB154" s="233"/>
      <c r="DC154" s="233"/>
      <c r="DD154" s="233"/>
      <c r="DE154" s="29"/>
      <c r="DF154" s="29"/>
      <c r="DG154" s="29"/>
      <c r="DH154" s="29"/>
      <c r="DI154" s="29"/>
      <c r="DJ154" s="29"/>
      <c r="DK154" s="29"/>
      <c r="DL154" s="29"/>
      <c r="DM154" s="29"/>
      <c r="DN154" s="29"/>
      <c r="DO154" s="29"/>
      <c r="DP154" s="29"/>
      <c r="DQ154" s="29"/>
      <c r="DR154" s="29"/>
      <c r="DS154" s="29"/>
      <c r="DT154" s="29"/>
      <c r="DU154" s="29"/>
      <c r="DV154" s="29"/>
      <c r="DW154" s="310" t="s">
        <v>1380</v>
      </c>
      <c r="DX154" s="310" t="s">
        <v>1377</v>
      </c>
      <c r="DY154" s="311">
        <v>2200</v>
      </c>
      <c r="DZ154" s="309" t="s">
        <v>1378</v>
      </c>
      <c r="EA154" s="309">
        <v>4</v>
      </c>
      <c r="EB154" s="428"/>
      <c r="EC154" s="428"/>
      <c r="ED154" s="428"/>
      <c r="EE154" s="428"/>
      <c r="EF154" s="428"/>
      <c r="EG154" s="428"/>
      <c r="EH154" s="428"/>
      <c r="EI154" s="428"/>
      <c r="EJ154" s="428"/>
      <c r="EK154" s="428"/>
      <c r="EL154" s="428"/>
      <c r="EM154" s="428"/>
      <c r="EN154" s="29"/>
      <c r="EO154" s="29"/>
      <c r="EP154" s="29"/>
      <c r="EQ154" s="29"/>
      <c r="ER154" s="29"/>
      <c r="ES154" s="29"/>
      <c r="ET154" s="29"/>
      <c r="EU154" s="29"/>
      <c r="EV154" s="30"/>
      <c r="EW154" s="30"/>
      <c r="EX154" s="30"/>
      <c r="EY154" s="30"/>
      <c r="EZ154" s="30"/>
      <c r="FA154" s="30"/>
      <c r="FB154" s="30"/>
      <c r="FC154" s="30"/>
      <c r="FD154" s="30"/>
      <c r="FE154" s="30"/>
      <c r="FF154" s="30"/>
      <c r="FG154" s="30"/>
      <c r="FH154" s="30"/>
      <c r="FI154" s="30"/>
      <c r="FJ154" s="30"/>
      <c r="FK154" s="30"/>
      <c r="FL154" s="30"/>
    </row>
    <row r="155" spans="1:168" ht="1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233"/>
      <c r="W155" s="233"/>
      <c r="X155" s="233"/>
      <c r="Y155" s="233"/>
      <c r="Z155" s="233"/>
      <c r="AA155" s="233"/>
      <c r="AB155" s="233"/>
      <c r="AC155" s="233"/>
      <c r="AD155" s="233"/>
      <c r="AE155" s="233"/>
      <c r="AF155" s="233"/>
      <c r="AG155" s="233"/>
      <c r="AH155" s="233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 t="s">
        <v>1564</v>
      </c>
      <c r="AT155" s="371" t="str">
        <f>IF($C$66=$AH$5,$G$66," ")</f>
        <v xml:space="preserve"> </v>
      </c>
      <c r="AU155" s="371">
        <f>IF($AT$155=$AT$130,AU130,IF($AT$155=$AT$131,AU131,IF($AT$155=$AT$132,AU132,IF($AT$155=$AT$133,AU133,IF($AT$155=$AT$134,AU134,IF($AT$155=$AT$135,AU135,IF($AT$155=$AT$136,AU136,IF($AT$155=$AT$137,AU137,IF($AT$155=$AT$138,AU138,IF($AT$155=$AT$139,AU139,IF($AT$155=$AT$140,AU140,IF($AT$155=$AT$141,AU141,IF($AT$155=$AT$143,AU143,IF($AT$155=$AT$144,AU144,IF($AT$155=$AT$145,AU145,IF($AT$155=$AT$146,AU146,IF($AT$155=$AT$147,AU147,IF($AT$155=$AT$148,AU148,0))))))))))))))))))</f>
        <v>0</v>
      </c>
      <c r="AV155" s="371">
        <f t="shared" ref="AV155:BF155" si="118">IF($AT$155=$AT$130,AV130,IF($AT$155=$AT$131,AV131,IF($AT$155=$AT$132,AV132,IF($AT$155=$AT$133,AV133,IF($AT$155=$AT$134,AV134,IF($AT$155=$AT$135,AV135,IF($AT$155=$AT$136,AV136,IF($AT$155=$AT$137,AV137,IF($AT$155=$AT$138,AV138,IF($AT$155=$AT$139,AV139,IF($AT$155=$AT$140,AV140,IF($AT$155=$AT$141,AV141,IF($AT$155=$AT$143,AV143,IF($AT$155=$AT$144,AV144,IF($AT$155=$AT$145,AV145,IF($AT$155=$AT$146,AV146,IF($AT$155=$AT$147,AV147,IF($AT$155=$AT$148,AV148,0))))))))))))))))))</f>
        <v>0</v>
      </c>
      <c r="AW155" s="371">
        <f t="shared" si="118"/>
        <v>0</v>
      </c>
      <c r="AX155" s="371">
        <f t="shared" si="118"/>
        <v>0</v>
      </c>
      <c r="AY155" s="371">
        <f t="shared" si="118"/>
        <v>0</v>
      </c>
      <c r="AZ155" s="371">
        <f t="shared" si="118"/>
        <v>0</v>
      </c>
      <c r="BA155" s="371">
        <f t="shared" si="118"/>
        <v>0</v>
      </c>
      <c r="BB155" s="371">
        <f t="shared" si="118"/>
        <v>0</v>
      </c>
      <c r="BC155" s="371">
        <f t="shared" si="118"/>
        <v>0</v>
      </c>
      <c r="BD155" s="371">
        <f t="shared" si="118"/>
        <v>0</v>
      </c>
      <c r="BE155" s="371">
        <f t="shared" si="118"/>
        <v>0</v>
      </c>
      <c r="BF155" s="371">
        <f t="shared" si="118"/>
        <v>0</v>
      </c>
      <c r="BG155" s="52"/>
      <c r="BH155" s="29"/>
      <c r="BI155" s="36"/>
      <c r="BJ155" s="408"/>
      <c r="BK155" s="408"/>
      <c r="BL155" s="408"/>
      <c r="BM155" s="408"/>
      <c r="BN155" s="233"/>
      <c r="BO155" s="233"/>
      <c r="BP155" s="233"/>
      <c r="BQ155" s="233"/>
      <c r="BR155" s="233"/>
      <c r="BS155" s="233"/>
      <c r="BT155" s="233"/>
      <c r="BU155" s="233"/>
      <c r="BV155" s="233"/>
      <c r="BW155" s="233"/>
      <c r="BX155" s="233"/>
      <c r="BY155" s="233"/>
      <c r="BZ155" s="233"/>
      <c r="CG155" s="233"/>
      <c r="CH155" s="233"/>
      <c r="CI155" s="233"/>
      <c r="CJ155" s="233"/>
      <c r="CK155" s="233"/>
      <c r="CL155" s="233"/>
      <c r="CM155" s="233"/>
      <c r="CN155" s="233"/>
      <c r="CO155" s="233"/>
      <c r="CP155" s="233"/>
      <c r="CQ155" s="233"/>
      <c r="CR155" s="233"/>
      <c r="CS155" s="233"/>
      <c r="CT155" s="233"/>
      <c r="CU155" s="233"/>
      <c r="CV155" s="233"/>
      <c r="CW155" s="233"/>
      <c r="CX155" s="233"/>
      <c r="CY155" s="233"/>
      <c r="CZ155" s="233"/>
      <c r="DA155" s="233"/>
      <c r="DB155" s="233"/>
      <c r="DC155" s="233"/>
      <c r="DD155" s="233"/>
      <c r="DE155" s="29"/>
      <c r="DF155" s="29"/>
      <c r="DG155" s="29"/>
      <c r="DH155" s="29"/>
      <c r="DI155" s="29"/>
      <c r="DJ155" s="29"/>
      <c r="DK155" s="29"/>
      <c r="DL155" s="29"/>
      <c r="DM155" s="29"/>
      <c r="DN155" s="29"/>
      <c r="DO155" s="29"/>
      <c r="DP155" s="29"/>
      <c r="DQ155" s="29"/>
      <c r="DR155" s="29"/>
      <c r="DS155" s="29"/>
      <c r="DT155" s="29"/>
      <c r="DU155" s="29"/>
      <c r="DV155" s="29"/>
      <c r="DW155" s="283" t="s">
        <v>1382</v>
      </c>
      <c r="DX155" s="279" t="s">
        <v>1379</v>
      </c>
      <c r="DY155" s="280">
        <v>3600</v>
      </c>
      <c r="DZ155" s="308" t="s">
        <v>1365</v>
      </c>
      <c r="EA155" s="308">
        <v>2</v>
      </c>
      <c r="EB155" s="428"/>
      <c r="EC155" s="428"/>
      <c r="ED155" s="428"/>
      <c r="EE155" s="428"/>
      <c r="EF155" s="428"/>
      <c r="EG155" s="428"/>
      <c r="EH155" s="428"/>
      <c r="EI155" s="428"/>
      <c r="EJ155" s="428"/>
      <c r="EK155" s="428"/>
      <c r="EL155" s="428"/>
      <c r="EM155" s="428"/>
      <c r="EN155" s="29"/>
      <c r="EO155" s="29"/>
      <c r="EP155" s="29"/>
      <c r="EQ155" s="29"/>
      <c r="ER155" s="29"/>
      <c r="ES155" s="29"/>
      <c r="ET155" s="29"/>
      <c r="EU155" s="29"/>
      <c r="EV155" s="30"/>
      <c r="EW155" s="30"/>
      <c r="EX155" s="30"/>
      <c r="EY155" s="30"/>
      <c r="EZ155" s="30"/>
      <c r="FA155" s="30"/>
      <c r="FB155" s="30"/>
      <c r="FC155" s="30"/>
      <c r="FD155" s="30"/>
      <c r="FE155" s="30"/>
      <c r="FF155" s="30"/>
      <c r="FG155" s="30"/>
      <c r="FH155" s="30"/>
      <c r="FI155" s="30"/>
      <c r="FJ155" s="30"/>
      <c r="FK155" s="30"/>
      <c r="FL155" s="30"/>
    </row>
    <row r="156" spans="1:168" ht="1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233"/>
      <c r="W156" s="233"/>
      <c r="X156" s="233"/>
      <c r="Y156" s="233"/>
      <c r="Z156" s="233"/>
      <c r="AA156" s="233"/>
      <c r="AB156" s="233"/>
      <c r="AC156" s="233"/>
      <c r="AD156" s="233"/>
      <c r="AE156" s="233"/>
      <c r="AF156" s="233"/>
      <c r="AG156" s="233"/>
      <c r="AH156" s="233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 t="s">
        <v>1565</v>
      </c>
      <c r="AT156" s="371" t="str">
        <f>IF($C$78=$AH$5,$G$78," ")</f>
        <v xml:space="preserve"> </v>
      </c>
      <c r="AU156" s="371">
        <f>IF($AT$156=$AT$130,AU130,IF($AT$156=$AT$131,AU131,IF($AT$156=$AT$132,AU132,IF($AT$156=$AT$133,AU133,IF($AT$156=$AT$134,AU134,IF($AT$156=$AT$135,AU135,IF($AT$156=$AT$136,AU136,IF($AT$156=$AT$137,AU137,IF($AT$156=$AT$138,AU138,IF($AT$156=$AT$139,AU139,IF($AT$156=$AT$140,AU140,IF($AT$156=$AT$141,AU141,IF($AT$156=$AT$143,AU143,IF($AT$156=$AT$144,AU144,IF($AT$156=$AT$145,AU145,IF($AT$156=$AT$146,AU146,IF($AT$156=$AT$147,AU147,IF($AT$156=$AT$148,AU148,0))))))))))))))))))</f>
        <v>0</v>
      </c>
      <c r="AV156" s="371">
        <f t="shared" ref="AV156:BF156" si="119">IF($AT$156=$AT$130,AV130,IF($AT$156=$AT$131,AV131,IF($AT$156=$AT$132,AV132,IF($AT$156=$AT$133,AV133,IF($AT$156=$AT$134,AV134,IF($AT$156=$AT$135,AV135,IF($AT$156=$AT$136,AV136,IF($AT$156=$AT$137,AV137,IF($AT$156=$AT$138,AV138,IF($AT$156=$AT$139,AV139,IF($AT$156=$AT$140,AV140,IF($AT$156=$AT$141,AV141,IF($AT$156=$AT$143,AV143,IF($AT$156=$AT$144,AV144,IF($AT$156=$AT$145,AV145,IF($AT$156=$AT$146,AV146,IF($AT$156=$AT$147,AV147,IF($AT$156=$AT$148,AV148,0))))))))))))))))))</f>
        <v>0</v>
      </c>
      <c r="AW156" s="371">
        <f t="shared" si="119"/>
        <v>0</v>
      </c>
      <c r="AX156" s="371">
        <f t="shared" si="119"/>
        <v>0</v>
      </c>
      <c r="AY156" s="371">
        <f t="shared" si="119"/>
        <v>0</v>
      </c>
      <c r="AZ156" s="371">
        <f t="shared" si="119"/>
        <v>0</v>
      </c>
      <c r="BA156" s="371">
        <f t="shared" si="119"/>
        <v>0</v>
      </c>
      <c r="BB156" s="371">
        <f t="shared" si="119"/>
        <v>0</v>
      </c>
      <c r="BC156" s="371">
        <f t="shared" si="119"/>
        <v>0</v>
      </c>
      <c r="BD156" s="371">
        <f t="shared" si="119"/>
        <v>0</v>
      </c>
      <c r="BE156" s="371">
        <f t="shared" si="119"/>
        <v>0</v>
      </c>
      <c r="BF156" s="371">
        <f t="shared" si="119"/>
        <v>0</v>
      </c>
      <c r="BG156" s="52"/>
      <c r="BH156" s="29"/>
      <c r="BI156" s="36"/>
      <c r="BJ156" s="408"/>
      <c r="BK156" s="408"/>
      <c r="BL156" s="408"/>
      <c r="BM156" s="408"/>
      <c r="BN156" s="233"/>
      <c r="BO156" s="233"/>
      <c r="BP156" s="233"/>
      <c r="BQ156" s="233"/>
      <c r="BR156" s="233"/>
      <c r="BS156" s="233"/>
      <c r="BT156" s="233"/>
      <c r="BU156" s="233"/>
      <c r="BV156" s="233"/>
      <c r="BW156" s="233"/>
      <c r="BX156" s="233"/>
      <c r="BY156" s="233"/>
      <c r="BZ156" s="233"/>
      <c r="CG156" s="233"/>
      <c r="CH156" s="233"/>
      <c r="CI156" s="233"/>
      <c r="CJ156" s="233"/>
      <c r="CK156" s="233"/>
      <c r="CL156" s="233"/>
      <c r="CM156" s="233"/>
      <c r="CN156" s="233"/>
      <c r="CO156" s="233"/>
      <c r="CP156" s="233"/>
      <c r="CQ156" s="233"/>
      <c r="CR156" s="233"/>
      <c r="CS156" s="233"/>
      <c r="CT156" s="233"/>
      <c r="CU156" s="233"/>
      <c r="CV156" s="233"/>
      <c r="CW156" s="233"/>
      <c r="CX156" s="233"/>
      <c r="CY156" s="233"/>
      <c r="CZ156" s="233"/>
      <c r="DA156" s="233"/>
      <c r="DB156" s="233"/>
      <c r="DC156" s="233"/>
      <c r="DD156" s="233"/>
      <c r="DE156" s="29"/>
      <c r="DF156" s="29"/>
      <c r="DG156" s="29"/>
      <c r="DH156" s="29"/>
      <c r="DI156" s="29"/>
      <c r="DJ156" s="29"/>
      <c r="DK156" s="29"/>
      <c r="DL156" s="29"/>
      <c r="DM156" s="29"/>
      <c r="DN156" s="29"/>
      <c r="DO156" s="29"/>
      <c r="DP156" s="29"/>
      <c r="DQ156" s="29"/>
      <c r="DR156" s="29"/>
      <c r="DS156" s="29"/>
      <c r="DT156" s="29"/>
      <c r="DU156" s="29"/>
      <c r="DV156" s="29"/>
      <c r="DW156" s="329" t="s">
        <v>1384</v>
      </c>
      <c r="DX156" s="310" t="s">
        <v>1380</v>
      </c>
      <c r="DY156" s="311">
        <v>4000</v>
      </c>
      <c r="DZ156" s="309" t="s">
        <v>1381</v>
      </c>
      <c r="EA156" s="309" t="s">
        <v>517</v>
      </c>
      <c r="EB156" s="428"/>
      <c r="EC156" s="428"/>
      <c r="ED156" s="428"/>
      <c r="EE156" s="428"/>
      <c r="EF156" s="428"/>
      <c r="EG156" s="428"/>
      <c r="EH156" s="428"/>
      <c r="EI156" s="428"/>
      <c r="EJ156" s="428"/>
      <c r="EK156" s="428"/>
      <c r="EL156" s="428"/>
      <c r="EM156" s="428"/>
      <c r="EN156" s="29"/>
      <c r="EO156" s="29"/>
      <c r="EP156" s="29"/>
      <c r="EQ156" s="29"/>
      <c r="ER156" s="29"/>
      <c r="ES156" s="29"/>
      <c r="ET156" s="29"/>
      <c r="EU156" s="29"/>
      <c r="EV156" s="30"/>
      <c r="EW156" s="30"/>
      <c r="EX156" s="30"/>
      <c r="EY156" s="30"/>
      <c r="EZ156" s="30"/>
      <c r="FA156" s="30"/>
      <c r="FB156" s="30"/>
      <c r="FC156" s="30"/>
      <c r="FD156" s="30"/>
      <c r="FE156" s="30"/>
      <c r="FF156" s="30"/>
      <c r="FG156" s="30"/>
      <c r="FH156" s="30"/>
      <c r="FI156" s="30"/>
      <c r="FJ156" s="30"/>
      <c r="FK156" s="30"/>
      <c r="FL156" s="30"/>
    </row>
    <row r="157" spans="1:168" ht="1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 t="s">
        <v>1566</v>
      </c>
      <c r="AT157" s="371" t="str">
        <f>IF($C$90=$AH$5,$G$90," ")</f>
        <v xml:space="preserve"> </v>
      </c>
      <c r="AU157" s="371">
        <f>IF($AT$157=$AT$130,AU130,IF($AT$157=$AT$131,AU131,IF($AT$157=$AT$132,AU132,IF($AT$157=$AT$133,AU133,IF($AT$157=$AT$134,AU134,IF($AT$157=$AT$135,AU135,IF($AT$157=$AT$136,AU136,IF($AT$157=$AT$137,AU137,IF($AT$157=$AT$138,AU138,IF($AT$157=$AT$139,AU139,IF($AT$157=$AT$140,AU140,IF($AT$157=$AT$141,AU141,IF($AT$157=$AT$143,AU143,IF($AT$157=$AT$144,AU144,IF($AT$157=$AT$145,AU145,IF($AT$157=$AT$146,AU146,IF($AT$157=$AT$147,AU147,IF($AT$157=$AT$148,AU148,0))))))))))))))))))</f>
        <v>0</v>
      </c>
      <c r="AV157" s="371">
        <f t="shared" ref="AV157:BF157" si="120">IF($AT$157=$AT$130,AV130,IF($AT$157=$AT$131,AV131,IF($AT$157=$AT$132,AV132,IF($AT$157=$AT$133,AV133,IF($AT$157=$AT$134,AV134,IF($AT$157=$AT$135,AV135,IF($AT$157=$AT$136,AV136,IF($AT$157=$AT$137,AV137,IF($AT$157=$AT$138,AV138,IF($AT$157=$AT$139,AV139,IF($AT$157=$AT$140,AV140,IF($AT$157=$AT$141,AV141,IF($AT$157=$AT$143,AV143,IF($AT$157=$AT$144,AV144,IF($AT$157=$AT$145,AV145,IF($AT$157=$AT$146,AV146,IF($AT$157=$AT$147,AV147,IF($AT$157=$AT$148,AV148,0))))))))))))))))))</f>
        <v>0</v>
      </c>
      <c r="AW157" s="371">
        <f t="shared" si="120"/>
        <v>0</v>
      </c>
      <c r="AX157" s="371">
        <f t="shared" si="120"/>
        <v>0</v>
      </c>
      <c r="AY157" s="371">
        <f t="shared" si="120"/>
        <v>0</v>
      </c>
      <c r="AZ157" s="371">
        <f t="shared" si="120"/>
        <v>0</v>
      </c>
      <c r="BA157" s="371">
        <f t="shared" si="120"/>
        <v>0</v>
      </c>
      <c r="BB157" s="371">
        <f t="shared" si="120"/>
        <v>0</v>
      </c>
      <c r="BC157" s="371">
        <f t="shared" si="120"/>
        <v>0</v>
      </c>
      <c r="BD157" s="371">
        <f t="shared" si="120"/>
        <v>0</v>
      </c>
      <c r="BE157" s="371">
        <f t="shared" si="120"/>
        <v>0</v>
      </c>
      <c r="BF157" s="371">
        <f t="shared" si="120"/>
        <v>0</v>
      </c>
      <c r="BG157" s="52"/>
      <c r="BH157" s="29"/>
      <c r="BI157" s="36"/>
      <c r="BJ157" s="408"/>
      <c r="BK157" s="408"/>
      <c r="BL157" s="408"/>
      <c r="BM157" s="408"/>
      <c r="BN157" s="233"/>
      <c r="BO157" s="233"/>
      <c r="BP157" s="233"/>
      <c r="BQ157" s="233"/>
      <c r="BR157" s="233"/>
      <c r="BS157" s="233"/>
      <c r="BT157" s="233"/>
      <c r="BU157" s="233"/>
      <c r="BV157" s="233"/>
      <c r="BW157" s="233"/>
      <c r="BX157" s="233"/>
      <c r="BY157" s="233"/>
      <c r="BZ157" s="233"/>
      <c r="CG157" s="233"/>
      <c r="CH157" s="233"/>
      <c r="CI157" s="233"/>
      <c r="CJ157" s="233"/>
      <c r="CK157" s="233"/>
      <c r="CL157" s="233"/>
      <c r="CM157" s="233"/>
      <c r="CN157" s="233"/>
      <c r="CO157" s="233"/>
      <c r="CP157" s="233"/>
      <c r="CQ157" s="233"/>
      <c r="CR157" s="233"/>
      <c r="CS157" s="233"/>
      <c r="CT157" s="233"/>
      <c r="CU157" s="233"/>
      <c r="CV157" s="233"/>
      <c r="CW157" s="233"/>
      <c r="CX157" s="233"/>
      <c r="CY157" s="233"/>
      <c r="CZ157" s="233"/>
      <c r="DA157" s="233"/>
      <c r="DB157" s="233"/>
      <c r="DC157" s="233"/>
      <c r="DD157" s="233"/>
      <c r="DE157" s="29"/>
      <c r="DF157" s="29"/>
      <c r="DG157" s="29"/>
      <c r="DH157" s="29"/>
      <c r="DI157" s="29"/>
      <c r="DJ157" s="29"/>
      <c r="DK157" s="29"/>
      <c r="DL157" s="29"/>
      <c r="DM157" s="29"/>
      <c r="DN157" s="29"/>
      <c r="DO157" s="29"/>
      <c r="DP157" s="29"/>
      <c r="DQ157" s="29"/>
      <c r="DR157" s="29"/>
      <c r="DS157" s="29"/>
      <c r="DT157" s="29"/>
      <c r="DU157" s="29"/>
      <c r="DV157" s="29"/>
      <c r="DW157" s="279" t="s">
        <v>1385</v>
      </c>
      <c r="DX157" s="283" t="s">
        <v>1382</v>
      </c>
      <c r="DY157" s="280">
        <v>4000</v>
      </c>
      <c r="DZ157" s="308" t="s">
        <v>1383</v>
      </c>
      <c r="EA157" s="308" t="s">
        <v>517</v>
      </c>
      <c r="EB157" s="428"/>
      <c r="EC157" s="428"/>
      <c r="ED157" s="428"/>
      <c r="EE157" s="428"/>
      <c r="EF157" s="428"/>
      <c r="EG157" s="428"/>
      <c r="EH157" s="428"/>
      <c r="EI157" s="428"/>
      <c r="EJ157" s="428"/>
      <c r="EK157" s="428"/>
      <c r="EL157" s="428"/>
      <c r="EM157" s="428"/>
      <c r="EN157" s="29"/>
      <c r="EO157" s="29"/>
      <c r="EP157" s="29"/>
      <c r="EQ157" s="29"/>
      <c r="ER157" s="29"/>
      <c r="ES157" s="29"/>
      <c r="ET157" s="29"/>
      <c r="EU157" s="29"/>
      <c r="EV157" s="30"/>
      <c r="EW157" s="30"/>
      <c r="EX157" s="30"/>
      <c r="EY157" s="30"/>
      <c r="EZ157" s="30"/>
      <c r="FA157" s="30"/>
      <c r="FB157" s="30"/>
      <c r="FC157" s="30"/>
      <c r="FD157" s="30"/>
      <c r="FE157" s="30"/>
      <c r="FF157" s="30"/>
      <c r="FG157" s="30"/>
      <c r="FH157" s="30"/>
      <c r="FI157" s="30"/>
      <c r="FJ157" s="30"/>
      <c r="FK157" s="30"/>
      <c r="FL157" s="30"/>
    </row>
    <row r="158" spans="1:168" ht="1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52"/>
      <c r="BH158" s="29"/>
      <c r="BI158" s="36"/>
      <c r="BJ158" s="408"/>
      <c r="BK158" s="408"/>
      <c r="BL158" s="408"/>
      <c r="BM158" s="408"/>
      <c r="BN158" s="233"/>
      <c r="BO158" s="233"/>
      <c r="BP158" s="233"/>
      <c r="BQ158" s="233"/>
      <c r="BR158" s="233"/>
      <c r="BS158" s="233"/>
      <c r="BT158" s="233"/>
      <c r="BU158" s="233"/>
      <c r="BV158" s="233"/>
      <c r="BW158" s="233"/>
      <c r="BX158" s="233"/>
      <c r="BY158" s="233"/>
      <c r="BZ158" s="233"/>
      <c r="CG158" s="233"/>
      <c r="CH158" s="233"/>
      <c r="CI158" s="233"/>
      <c r="CJ158" s="233"/>
      <c r="CK158" s="233"/>
      <c r="CL158" s="233"/>
      <c r="CM158" s="233"/>
      <c r="CN158" s="233"/>
      <c r="CO158" s="233"/>
      <c r="CP158" s="233"/>
      <c r="CQ158" s="233"/>
      <c r="CR158" s="233"/>
      <c r="CS158" s="233"/>
      <c r="CT158" s="233"/>
      <c r="CU158" s="233"/>
      <c r="CV158" s="233"/>
      <c r="CW158" s="233"/>
      <c r="CX158" s="233"/>
      <c r="CY158" s="233"/>
      <c r="CZ158" s="233"/>
      <c r="DA158" s="233"/>
      <c r="DB158" s="233"/>
      <c r="DC158" s="233"/>
      <c r="DD158" s="233"/>
      <c r="DE158" s="29"/>
      <c r="DF158" s="29"/>
      <c r="DG158" s="29"/>
      <c r="DH158" s="29"/>
      <c r="DI158" s="29"/>
      <c r="DJ158" s="29"/>
      <c r="DK158" s="29"/>
      <c r="DL158" s="29"/>
      <c r="DM158" s="29"/>
      <c r="DN158" s="29"/>
      <c r="DO158" s="29"/>
      <c r="DP158" s="29"/>
      <c r="DQ158" s="29"/>
      <c r="DR158" s="29"/>
      <c r="DS158" s="29"/>
      <c r="DT158" s="29"/>
      <c r="DU158" s="29"/>
      <c r="DV158" s="29"/>
      <c r="DW158" s="310" t="s">
        <v>1387</v>
      </c>
      <c r="DX158" s="282" t="s">
        <v>1384</v>
      </c>
      <c r="DY158" s="309"/>
      <c r="DZ158" s="309"/>
      <c r="EA158" s="309"/>
      <c r="EB158" s="428"/>
      <c r="EC158" s="428"/>
      <c r="ED158" s="428"/>
      <c r="EE158" s="428"/>
      <c r="EF158" s="428"/>
      <c r="EG158" s="428"/>
      <c r="EH158" s="428"/>
      <c r="EI158" s="428"/>
      <c r="EJ158" s="428"/>
      <c r="EK158" s="428"/>
      <c r="EL158" s="428"/>
      <c r="EM158" s="428"/>
      <c r="EN158" s="29"/>
      <c r="EO158" s="29"/>
      <c r="EP158" s="29"/>
      <c r="EQ158" s="29"/>
      <c r="ER158" s="29"/>
      <c r="ES158" s="29"/>
      <c r="ET158" s="29"/>
      <c r="EU158" s="29"/>
      <c r="EV158" s="30"/>
      <c r="EW158" s="30"/>
      <c r="EX158" s="30"/>
      <c r="EY158" s="30"/>
      <c r="EZ158" s="30"/>
      <c r="FA158" s="30"/>
      <c r="FB158" s="30"/>
      <c r="FC158" s="30"/>
      <c r="FD158" s="30"/>
      <c r="FE158" s="30"/>
      <c r="FF158" s="30"/>
      <c r="FG158" s="30"/>
      <c r="FH158" s="30"/>
      <c r="FI158" s="30"/>
      <c r="FJ158" s="30"/>
      <c r="FK158" s="30"/>
      <c r="FL158" s="30"/>
    </row>
    <row r="159" spans="1:168" ht="15.75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33"/>
      <c r="AT159" s="375" t="s">
        <v>1538</v>
      </c>
      <c r="AU159" s="490" t="s">
        <v>467</v>
      </c>
      <c r="AV159" s="490"/>
      <c r="AW159" s="490" t="s">
        <v>1544</v>
      </c>
      <c r="AX159" s="490"/>
      <c r="AY159" s="375"/>
      <c r="AZ159" s="490" t="s">
        <v>1112</v>
      </c>
      <c r="BA159" s="490"/>
      <c r="BB159" s="375"/>
      <c r="BC159" s="491" t="s">
        <v>794</v>
      </c>
      <c r="BD159" s="375"/>
      <c r="BE159" s="490" t="s">
        <v>1001</v>
      </c>
      <c r="BF159" s="490"/>
      <c r="BG159" s="52"/>
      <c r="BH159" s="29"/>
      <c r="BI159" s="36"/>
      <c r="BJ159" s="408"/>
      <c r="BK159" s="408"/>
      <c r="BL159" s="408"/>
      <c r="BM159" s="408"/>
      <c r="BN159" s="233"/>
      <c r="BO159" s="233"/>
      <c r="BP159" s="233"/>
      <c r="BQ159" s="233"/>
      <c r="BR159" s="233"/>
      <c r="BS159" s="233"/>
      <c r="BT159" s="233"/>
      <c r="BU159" s="233"/>
      <c r="BV159" s="233"/>
      <c r="BW159" s="233"/>
      <c r="BX159" s="233"/>
      <c r="BY159" s="233"/>
      <c r="BZ159" s="233"/>
      <c r="CG159" s="233"/>
      <c r="CH159" s="233"/>
      <c r="CI159" s="233"/>
      <c r="CJ159" s="233"/>
      <c r="CK159" s="233"/>
      <c r="CL159" s="233"/>
      <c r="CM159" s="233"/>
      <c r="CN159" s="233"/>
      <c r="CO159" s="233"/>
      <c r="CP159" s="233"/>
      <c r="CQ159" s="233"/>
      <c r="CR159" s="233"/>
      <c r="CS159" s="233"/>
      <c r="CT159" s="233"/>
      <c r="CU159" s="233"/>
      <c r="CV159" s="233"/>
      <c r="CW159" s="233"/>
      <c r="CX159" s="233"/>
      <c r="CY159" s="233"/>
      <c r="CZ159" s="233"/>
      <c r="DA159" s="233"/>
      <c r="DB159" s="233"/>
      <c r="DC159" s="233"/>
      <c r="DD159" s="233"/>
      <c r="DE159" s="29"/>
      <c r="DF159" s="29"/>
      <c r="DG159" s="29"/>
      <c r="DH159" s="29"/>
      <c r="DI159" s="29"/>
      <c r="DJ159" s="29"/>
      <c r="DK159" s="29"/>
      <c r="DL159" s="29"/>
      <c r="DM159" s="29"/>
      <c r="DN159" s="29"/>
      <c r="DO159" s="29"/>
      <c r="DP159" s="29"/>
      <c r="DQ159" s="29"/>
      <c r="DR159" s="29"/>
      <c r="DS159" s="29"/>
      <c r="DT159" s="29"/>
      <c r="DU159" s="29"/>
      <c r="DV159" s="29"/>
      <c r="DW159" s="279" t="s">
        <v>1389</v>
      </c>
      <c r="DX159" s="279" t="s">
        <v>1385</v>
      </c>
      <c r="DY159" s="280">
        <v>3500</v>
      </c>
      <c r="DZ159" s="308" t="s">
        <v>1386</v>
      </c>
      <c r="EA159" s="308" t="s">
        <v>517</v>
      </c>
      <c r="EB159" s="428"/>
      <c r="EC159" s="428"/>
      <c r="ED159" s="428"/>
      <c r="EE159" s="428"/>
      <c r="EF159" s="428"/>
      <c r="EG159" s="428"/>
      <c r="EH159" s="428"/>
      <c r="EI159" s="428"/>
      <c r="EJ159" s="428"/>
      <c r="EK159" s="428"/>
      <c r="EL159" s="428"/>
      <c r="EM159" s="428"/>
      <c r="EN159" s="29"/>
      <c r="EO159" s="29"/>
      <c r="EP159" s="29"/>
      <c r="EQ159" s="29"/>
      <c r="ER159" s="29"/>
      <c r="ES159" s="29"/>
      <c r="ET159" s="29"/>
      <c r="EU159" s="29"/>
      <c r="EV159" s="30"/>
      <c r="EW159" s="30"/>
      <c r="EX159" s="30"/>
      <c r="EY159" s="30"/>
      <c r="EZ159" s="30"/>
      <c r="FA159" s="30"/>
      <c r="FB159" s="30"/>
      <c r="FC159" s="30"/>
      <c r="FD159" s="30"/>
      <c r="FE159" s="30"/>
      <c r="FF159" s="30"/>
      <c r="FG159" s="30"/>
      <c r="FH159" s="30"/>
      <c r="FI159" s="30"/>
      <c r="FJ159" s="30"/>
      <c r="FK159" s="30"/>
      <c r="FL159" s="30"/>
    </row>
    <row r="160" spans="1:168" ht="15.75" customHeight="1" thickBot="1" x14ac:dyDescent="0.3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33"/>
      <c r="AT160" s="364" t="s">
        <v>890</v>
      </c>
      <c r="AU160" s="364" t="s">
        <v>1207</v>
      </c>
      <c r="AV160" s="364" t="s">
        <v>167</v>
      </c>
      <c r="AW160" s="364" t="s">
        <v>1547</v>
      </c>
      <c r="AX160" s="364" t="s">
        <v>1548</v>
      </c>
      <c r="AY160" s="364" t="s">
        <v>1002</v>
      </c>
      <c r="AZ160" s="364" t="s">
        <v>1549</v>
      </c>
      <c r="BA160" s="364" t="s">
        <v>1550</v>
      </c>
      <c r="BB160" s="364" t="s">
        <v>190</v>
      </c>
      <c r="BC160" s="492"/>
      <c r="BD160" s="364" t="s">
        <v>692</v>
      </c>
      <c r="BE160" s="364" t="s">
        <v>1207</v>
      </c>
      <c r="BF160" s="364" t="s">
        <v>167</v>
      </c>
      <c r="BG160" s="233"/>
      <c r="BH160" s="233"/>
      <c r="BI160" s="408"/>
      <c r="BJ160" s="408"/>
      <c r="BK160" s="408"/>
      <c r="BL160" s="408"/>
      <c r="BM160" s="408"/>
      <c r="BN160" s="233"/>
      <c r="BO160" s="233"/>
      <c r="BP160" s="233"/>
      <c r="BQ160" s="233"/>
      <c r="BR160" s="233"/>
      <c r="BS160" s="233"/>
      <c r="BT160" s="233"/>
      <c r="BU160" s="233"/>
      <c r="BV160" s="233"/>
      <c r="BW160" s="233"/>
      <c r="BX160" s="233"/>
      <c r="BY160" s="233"/>
      <c r="BZ160" s="233"/>
      <c r="CG160" s="233"/>
      <c r="CH160" s="233"/>
      <c r="CI160" s="233"/>
      <c r="CJ160" s="233"/>
      <c r="CK160" s="233"/>
      <c r="CL160" s="233"/>
      <c r="CM160" s="233"/>
      <c r="CN160" s="233"/>
      <c r="CO160" s="233"/>
      <c r="CP160" s="233"/>
      <c r="CQ160" s="233"/>
      <c r="CR160" s="233"/>
      <c r="CS160" s="233"/>
      <c r="CT160" s="233"/>
      <c r="CU160" s="233"/>
      <c r="CV160" s="233"/>
      <c r="CW160" s="233"/>
      <c r="CX160" s="233"/>
      <c r="CY160" s="233"/>
      <c r="CZ160" s="233"/>
      <c r="DA160" s="233"/>
      <c r="DB160" s="233"/>
      <c r="DC160" s="233"/>
      <c r="DD160" s="233"/>
      <c r="DE160" s="29"/>
      <c r="DF160" s="29"/>
      <c r="DG160" s="29"/>
      <c r="DH160" s="29"/>
      <c r="DI160" s="29"/>
      <c r="DJ160" s="29"/>
      <c r="DK160" s="29"/>
      <c r="DL160" s="29"/>
      <c r="DM160" s="29"/>
      <c r="DN160" s="29"/>
      <c r="DO160" s="29"/>
      <c r="DP160" s="29"/>
      <c r="DQ160" s="29"/>
      <c r="DR160" s="29"/>
      <c r="DS160" s="29"/>
      <c r="DT160" s="29"/>
      <c r="DU160" s="29"/>
      <c r="DV160" s="29"/>
      <c r="DW160" s="310" t="s">
        <v>1391</v>
      </c>
      <c r="DX160" s="310" t="s">
        <v>1387</v>
      </c>
      <c r="DY160" s="311">
        <v>4500</v>
      </c>
      <c r="DZ160" s="309" t="s">
        <v>1388</v>
      </c>
      <c r="EA160" s="309">
        <v>1</v>
      </c>
      <c r="EB160" s="428"/>
      <c r="EC160" s="428"/>
      <c r="ED160" s="428"/>
      <c r="EE160" s="428"/>
      <c r="EF160" s="428"/>
      <c r="EG160" s="428"/>
      <c r="EH160" s="428"/>
      <c r="EI160" s="428"/>
      <c r="EJ160" s="428"/>
      <c r="EK160" s="428"/>
      <c r="EL160" s="428"/>
      <c r="EM160" s="428"/>
      <c r="EN160" s="29"/>
      <c r="EO160" s="29"/>
      <c r="EP160" s="29"/>
      <c r="EQ160" s="29"/>
      <c r="ER160" s="29"/>
      <c r="ES160" s="29"/>
      <c r="ET160" s="29"/>
      <c r="EU160" s="29"/>
      <c r="EV160" s="30"/>
      <c r="EW160" s="30"/>
      <c r="EX160" s="30"/>
      <c r="EY160" s="30"/>
      <c r="EZ160" s="30"/>
      <c r="FA160" s="30"/>
      <c r="FB160" s="30"/>
      <c r="FC160" s="30"/>
      <c r="FD160" s="30"/>
      <c r="FE160" s="30"/>
      <c r="FF160" s="30"/>
      <c r="FG160" s="30"/>
      <c r="FH160" s="30"/>
      <c r="FI160" s="30"/>
      <c r="FJ160" s="30"/>
      <c r="FK160" s="30"/>
      <c r="FL160" s="30"/>
    </row>
    <row r="161" spans="1:168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>
        <v>1</v>
      </c>
      <c r="AT161" s="234" t="s">
        <v>886</v>
      </c>
      <c r="AU161" s="234" t="s">
        <v>849</v>
      </c>
      <c r="AV161" s="234" t="s">
        <v>540</v>
      </c>
      <c r="AW161" s="234">
        <v>20</v>
      </c>
      <c r="AX161" s="234">
        <v>2</v>
      </c>
      <c r="AY161" s="234"/>
      <c r="AZ161" s="234"/>
      <c r="BA161" s="234"/>
      <c r="BB161" s="234"/>
      <c r="BC161" s="234"/>
      <c r="BD161" s="234"/>
      <c r="BE161" s="234">
        <v>0</v>
      </c>
      <c r="BF161" s="234">
        <v>0</v>
      </c>
      <c r="BG161" s="233"/>
      <c r="BH161" s="233"/>
      <c r="BI161" s="408"/>
      <c r="BJ161" s="408"/>
      <c r="BK161" s="408"/>
      <c r="BL161" s="408"/>
      <c r="BM161" s="408"/>
      <c r="BN161" s="233"/>
      <c r="BO161" s="233"/>
      <c r="BP161" s="233"/>
      <c r="BQ161" s="233"/>
      <c r="BR161" s="233"/>
      <c r="BS161" s="233"/>
      <c r="BT161" s="233"/>
      <c r="BU161" s="233"/>
      <c r="BV161" s="233"/>
      <c r="BW161" s="233"/>
      <c r="BX161" s="233"/>
      <c r="BY161" s="233"/>
      <c r="BZ161" s="233"/>
      <c r="CG161" s="233"/>
      <c r="CH161" s="233"/>
      <c r="CI161" s="233"/>
      <c r="CJ161" s="233"/>
      <c r="CK161" s="233"/>
      <c r="CL161" s="233"/>
      <c r="CM161" s="233"/>
      <c r="CN161" s="233"/>
      <c r="CO161" s="233"/>
      <c r="CP161" s="233"/>
      <c r="CQ161" s="233"/>
      <c r="CR161" s="233"/>
      <c r="CS161" s="233"/>
      <c r="CT161" s="233"/>
      <c r="CU161" s="233"/>
      <c r="CV161" s="233"/>
      <c r="CW161" s="233"/>
      <c r="CX161" s="233"/>
      <c r="CY161" s="233"/>
      <c r="CZ161" s="233"/>
      <c r="DA161" s="233"/>
      <c r="DB161" s="233"/>
      <c r="DC161" s="233"/>
      <c r="DD161" s="233"/>
      <c r="DE161" s="29"/>
      <c r="DF161" s="29"/>
      <c r="DG161" s="29"/>
      <c r="DH161" s="29"/>
      <c r="DI161" s="29"/>
      <c r="DJ161" s="29"/>
      <c r="DK161" s="29"/>
      <c r="DL161" s="29"/>
      <c r="DM161" s="29"/>
      <c r="DN161" s="29"/>
      <c r="DO161" s="29"/>
      <c r="DP161" s="29"/>
      <c r="DQ161" s="29"/>
      <c r="DR161" s="29"/>
      <c r="DS161" s="29"/>
      <c r="DT161" s="29"/>
      <c r="DU161" s="29"/>
      <c r="DV161" s="29"/>
      <c r="DW161" s="328" t="s">
        <v>1393</v>
      </c>
      <c r="DX161" s="279" t="s">
        <v>1389</v>
      </c>
      <c r="DY161" s="280">
        <v>5000</v>
      </c>
      <c r="DZ161" s="308" t="s">
        <v>1390</v>
      </c>
      <c r="EA161" s="308" t="s">
        <v>517</v>
      </c>
      <c r="EB161" s="428"/>
      <c r="EC161" s="428"/>
      <c r="ED161" s="428"/>
      <c r="EE161" s="428"/>
      <c r="EF161" s="428"/>
      <c r="EG161" s="428"/>
      <c r="EH161" s="428"/>
      <c r="EI161" s="428"/>
      <c r="EJ161" s="428"/>
      <c r="EK161" s="428"/>
      <c r="EL161" s="428"/>
      <c r="EM161" s="428"/>
      <c r="EN161" s="29"/>
      <c r="EO161" s="29"/>
      <c r="EP161" s="29"/>
      <c r="EQ161" s="29"/>
      <c r="ER161" s="29"/>
      <c r="ES161" s="29"/>
      <c r="ET161" s="29"/>
      <c r="EU161" s="29"/>
      <c r="EV161" s="30"/>
      <c r="EW161" s="30"/>
      <c r="EX161" s="30"/>
      <c r="EY161" s="30"/>
      <c r="EZ161" s="30"/>
      <c r="FA161" s="30"/>
      <c r="FB161" s="30"/>
      <c r="FC161" s="30"/>
      <c r="FD161" s="30"/>
      <c r="FE161" s="30"/>
      <c r="FF161" s="30"/>
      <c r="FG161" s="30"/>
      <c r="FH161" s="30"/>
      <c r="FI161" s="30"/>
      <c r="FJ161" s="30"/>
      <c r="FK161" s="30"/>
      <c r="FL161" s="30"/>
    </row>
    <row r="162" spans="1:168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>
        <v>2</v>
      </c>
      <c r="AT162" s="234" t="s">
        <v>850</v>
      </c>
      <c r="AU162" s="234" t="s">
        <v>899</v>
      </c>
      <c r="AV162" s="234" t="s">
        <v>902</v>
      </c>
      <c r="AW162" s="234">
        <v>20</v>
      </c>
      <c r="AX162" s="234">
        <v>2</v>
      </c>
      <c r="AY162" s="234"/>
      <c r="AZ162" s="234"/>
      <c r="BA162" s="234"/>
      <c r="BB162" s="234"/>
      <c r="BC162" s="234"/>
      <c r="BD162" s="234"/>
      <c r="BE162" s="234">
        <v>2</v>
      </c>
      <c r="BF162" s="234">
        <v>3</v>
      </c>
      <c r="BG162" s="233"/>
      <c r="BH162" s="233"/>
      <c r="BI162" s="408"/>
      <c r="BJ162" s="408"/>
      <c r="BK162" s="408"/>
      <c r="BL162" s="408"/>
      <c r="BM162" s="408"/>
      <c r="BN162" s="233"/>
      <c r="BO162" s="233"/>
      <c r="BP162" s="233"/>
      <c r="BQ162" s="233"/>
      <c r="BR162" s="233"/>
      <c r="BS162" s="233"/>
      <c r="BT162" s="233"/>
      <c r="BU162" s="233"/>
      <c r="BV162" s="233"/>
      <c r="BW162" s="233"/>
      <c r="BX162" s="233"/>
      <c r="BY162" s="233"/>
      <c r="BZ162" s="233"/>
      <c r="CG162" s="233"/>
      <c r="CH162" s="233"/>
      <c r="CI162" s="233"/>
      <c r="CJ162" s="233"/>
      <c r="CK162" s="233"/>
      <c r="CL162" s="233"/>
      <c r="CM162" s="233"/>
      <c r="CN162" s="233"/>
      <c r="CO162" s="233"/>
      <c r="CP162" s="233"/>
      <c r="CQ162" s="233"/>
      <c r="CR162" s="233"/>
      <c r="CS162" s="233"/>
      <c r="CT162" s="233"/>
      <c r="CU162" s="233"/>
      <c r="CV162" s="233"/>
      <c r="CW162" s="233"/>
      <c r="CX162" s="233"/>
      <c r="CY162" s="233"/>
      <c r="CZ162" s="233"/>
      <c r="DA162" s="233"/>
      <c r="DB162" s="233"/>
      <c r="DC162" s="233"/>
      <c r="DD162" s="233"/>
      <c r="DE162" s="29"/>
      <c r="DF162" s="29"/>
      <c r="DG162" s="29"/>
      <c r="DH162" s="29"/>
      <c r="DI162" s="29"/>
      <c r="DJ162" s="29"/>
      <c r="DK162" s="29"/>
      <c r="DL162" s="29"/>
      <c r="DM162" s="29"/>
      <c r="DN162" s="29"/>
      <c r="DO162" s="29"/>
      <c r="DP162" s="29"/>
      <c r="DQ162" s="29"/>
      <c r="DR162" s="29"/>
      <c r="DS162" s="29"/>
      <c r="DT162" s="29"/>
      <c r="DU162" s="29"/>
      <c r="DV162" s="29"/>
      <c r="DW162" s="310" t="s">
        <v>1394</v>
      </c>
      <c r="DX162" s="310" t="s">
        <v>1391</v>
      </c>
      <c r="DY162" s="311">
        <v>9500</v>
      </c>
      <c r="DZ162" s="309" t="s">
        <v>1392</v>
      </c>
      <c r="EA162" s="309">
        <v>2</v>
      </c>
      <c r="EB162" s="428"/>
      <c r="EC162" s="428"/>
      <c r="ED162" s="428"/>
      <c r="EE162" s="428"/>
      <c r="EF162" s="428"/>
      <c r="EG162" s="428"/>
      <c r="EH162" s="428"/>
      <c r="EI162" s="428"/>
      <c r="EJ162" s="428"/>
      <c r="EK162" s="428"/>
      <c r="EL162" s="428"/>
      <c r="EM162" s="428"/>
      <c r="EN162" s="29"/>
      <c r="EO162" s="29"/>
      <c r="EP162" s="29"/>
      <c r="EQ162" s="29"/>
      <c r="ER162" s="29"/>
      <c r="ES162" s="29"/>
      <c r="ET162" s="29"/>
      <c r="EU162" s="29"/>
      <c r="EV162" s="30"/>
      <c r="EW162" s="30"/>
      <c r="EX162" s="30"/>
      <c r="EY162" s="30"/>
      <c r="EZ162" s="30"/>
      <c r="FA162" s="30"/>
      <c r="FB162" s="30"/>
      <c r="FC162" s="30"/>
      <c r="FD162" s="30"/>
      <c r="FE162" s="30"/>
      <c r="FF162" s="30"/>
      <c r="FG162" s="30"/>
      <c r="FH162" s="30"/>
      <c r="FI162" s="30"/>
      <c r="FJ162" s="30"/>
      <c r="FK162" s="30"/>
      <c r="FL162" s="30"/>
    </row>
    <row r="163" spans="1:168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>
        <v>3</v>
      </c>
      <c r="AT163" s="234" t="s">
        <v>851</v>
      </c>
      <c r="AU163" s="234" t="s">
        <v>900</v>
      </c>
      <c r="AV163" s="234" t="s">
        <v>903</v>
      </c>
      <c r="AW163" s="234">
        <v>20</v>
      </c>
      <c r="AX163" s="234">
        <v>2</v>
      </c>
      <c r="AY163" s="234"/>
      <c r="AZ163" s="234"/>
      <c r="BA163" s="234"/>
      <c r="BB163" s="234"/>
      <c r="BC163" s="234"/>
      <c r="BD163" s="234">
        <v>10</v>
      </c>
      <c r="BE163" s="234">
        <v>1</v>
      </c>
      <c r="BF163" s="234">
        <v>2</v>
      </c>
      <c r="BG163" s="233"/>
      <c r="BH163" s="233"/>
      <c r="BI163" s="408"/>
      <c r="BJ163" s="408"/>
      <c r="BK163" s="408"/>
      <c r="BL163" s="408"/>
      <c r="BM163" s="408"/>
      <c r="BN163" s="233"/>
      <c r="BO163" s="233"/>
      <c r="BP163" s="233"/>
      <c r="BQ163" s="233"/>
      <c r="BR163" s="233"/>
      <c r="BS163" s="233"/>
      <c r="BT163" s="233"/>
      <c r="BU163" s="233"/>
      <c r="BV163" s="233"/>
      <c r="BW163" s="233"/>
      <c r="BX163" s="233"/>
      <c r="BY163" s="233"/>
      <c r="BZ163" s="233"/>
      <c r="CG163" s="233"/>
      <c r="CH163" s="233"/>
      <c r="CI163" s="233"/>
      <c r="CJ163" s="233"/>
      <c r="CK163" s="233"/>
      <c r="CL163" s="233"/>
      <c r="CM163" s="233"/>
      <c r="CN163" s="233"/>
      <c r="CO163" s="233"/>
      <c r="CP163" s="233"/>
      <c r="CQ163" s="233"/>
      <c r="CR163" s="233"/>
      <c r="CS163" s="233"/>
      <c r="CT163" s="233"/>
      <c r="CU163" s="233"/>
      <c r="CV163" s="233"/>
      <c r="CW163" s="233"/>
      <c r="CX163" s="233"/>
      <c r="CY163" s="233"/>
      <c r="CZ163" s="233"/>
      <c r="DA163" s="233"/>
      <c r="DB163" s="233"/>
      <c r="DC163" s="233"/>
      <c r="DD163" s="233"/>
      <c r="DE163" s="29"/>
      <c r="DF163" s="29"/>
      <c r="DG163" s="29"/>
      <c r="DH163" s="29"/>
      <c r="DI163" s="29"/>
      <c r="DJ163" s="29"/>
      <c r="DK163" s="29"/>
      <c r="DL163" s="29"/>
      <c r="DM163" s="29"/>
      <c r="DN163" s="29"/>
      <c r="DO163" s="29"/>
      <c r="DP163" s="29"/>
      <c r="DQ163" s="29"/>
      <c r="DR163" s="29"/>
      <c r="DS163" s="29"/>
      <c r="DT163" s="29"/>
      <c r="DU163" s="29"/>
      <c r="DV163" s="29"/>
      <c r="DW163" s="283" t="s">
        <v>1396</v>
      </c>
      <c r="DX163" s="278" t="s">
        <v>1393</v>
      </c>
      <c r="DY163" s="308"/>
      <c r="DZ163" s="308"/>
      <c r="EA163" s="308"/>
      <c r="EB163" s="428"/>
      <c r="EC163" s="428"/>
      <c r="ED163" s="428"/>
      <c r="EE163" s="428"/>
      <c r="EF163" s="428"/>
      <c r="EG163" s="428"/>
      <c r="EH163" s="428"/>
      <c r="EI163" s="428"/>
      <c r="EJ163" s="428"/>
      <c r="EK163" s="428"/>
      <c r="EL163" s="428"/>
      <c r="EM163" s="428"/>
      <c r="EN163" s="29"/>
      <c r="EO163" s="29"/>
      <c r="EP163" s="29"/>
      <c r="EQ163" s="29"/>
      <c r="ER163" s="29"/>
      <c r="ES163" s="29"/>
      <c r="ET163" s="29"/>
      <c r="EU163" s="29"/>
      <c r="EV163" s="30"/>
      <c r="EW163" s="30"/>
      <c r="EX163" s="30"/>
      <c r="EY163" s="30"/>
      <c r="EZ163" s="30"/>
      <c r="FA163" s="30"/>
      <c r="FB163" s="30"/>
      <c r="FC163" s="30"/>
      <c r="FD163" s="30"/>
      <c r="FE163" s="30"/>
      <c r="FF163" s="30"/>
      <c r="FG163" s="30"/>
      <c r="FH163" s="30"/>
      <c r="FI163" s="30"/>
      <c r="FJ163" s="30"/>
      <c r="FK163" s="30"/>
      <c r="FL163" s="30"/>
    </row>
    <row r="164" spans="1:168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>
        <v>4</v>
      </c>
      <c r="AT164" s="234" t="s">
        <v>905</v>
      </c>
      <c r="AU164" s="234" t="s">
        <v>896</v>
      </c>
      <c r="AV164" s="234" t="s">
        <v>895</v>
      </c>
      <c r="AW164" s="234">
        <v>20</v>
      </c>
      <c r="AX164" s="234">
        <v>2</v>
      </c>
      <c r="AY164" s="234"/>
      <c r="AZ164" s="234"/>
      <c r="BA164" s="234"/>
      <c r="BB164" s="234"/>
      <c r="BC164" s="234"/>
      <c r="BD164" s="234"/>
      <c r="BE164" s="234">
        <v>0</v>
      </c>
      <c r="BF164" s="234">
        <v>0</v>
      </c>
      <c r="BG164" s="233"/>
      <c r="BH164" s="233"/>
      <c r="BI164" s="408"/>
      <c r="BJ164" s="408"/>
      <c r="BK164" s="408"/>
      <c r="BL164" s="408"/>
      <c r="BM164" s="408"/>
      <c r="BN164" s="233"/>
      <c r="BO164" s="233"/>
      <c r="BP164" s="233"/>
      <c r="BQ164" s="233"/>
      <c r="BR164" s="233"/>
      <c r="BS164" s="233"/>
      <c r="BT164" s="233"/>
      <c r="BU164" s="233"/>
      <c r="BV164" s="233"/>
      <c r="BW164" s="233"/>
      <c r="BX164" s="233"/>
      <c r="BY164" s="233"/>
      <c r="BZ164" s="233"/>
      <c r="CG164" s="233"/>
      <c r="CH164" s="233"/>
      <c r="CI164" s="233"/>
      <c r="CJ164" s="233"/>
      <c r="CK164" s="233"/>
      <c r="CL164" s="233"/>
      <c r="CM164" s="233"/>
      <c r="CN164" s="233"/>
      <c r="CO164" s="233"/>
      <c r="CP164" s="233"/>
      <c r="CQ164" s="233"/>
      <c r="CR164" s="233"/>
      <c r="CS164" s="233"/>
      <c r="CT164" s="233"/>
      <c r="CU164" s="233"/>
      <c r="CV164" s="233"/>
      <c r="CW164" s="233"/>
      <c r="CX164" s="233"/>
      <c r="CY164" s="233"/>
      <c r="CZ164" s="233"/>
      <c r="DA164" s="233"/>
      <c r="DB164" s="233"/>
      <c r="DC164" s="233"/>
      <c r="DD164" s="233"/>
      <c r="DE164" s="29"/>
      <c r="DF164" s="29"/>
      <c r="DG164" s="29"/>
      <c r="DH164" s="29"/>
      <c r="DI164" s="29"/>
      <c r="DJ164" s="29"/>
      <c r="DK164" s="29"/>
      <c r="DL164" s="29"/>
      <c r="DM164" s="29"/>
      <c r="DN164" s="29"/>
      <c r="DO164" s="29"/>
      <c r="DP164" s="29"/>
      <c r="DQ164" s="29"/>
      <c r="DR164" s="29"/>
      <c r="DS164" s="29"/>
      <c r="DT164" s="29"/>
      <c r="DU164" s="29"/>
      <c r="DV164" s="29"/>
      <c r="DW164" s="310" t="s">
        <v>1398</v>
      </c>
      <c r="DX164" s="310" t="s">
        <v>1394</v>
      </c>
      <c r="DY164" s="309">
        <v>800</v>
      </c>
      <c r="DZ164" s="309" t="s">
        <v>1395</v>
      </c>
      <c r="EA164" s="309" t="s">
        <v>847</v>
      </c>
      <c r="EB164" s="428"/>
      <c r="EC164" s="428"/>
      <c r="ED164" s="428"/>
      <c r="EE164" s="428"/>
      <c r="EF164" s="428"/>
      <c r="EG164" s="428"/>
      <c r="EH164" s="428"/>
      <c r="EI164" s="428"/>
      <c r="EJ164" s="428"/>
      <c r="EK164" s="428"/>
      <c r="EL164" s="428"/>
      <c r="EM164" s="428"/>
      <c r="EN164" s="29"/>
      <c r="EO164" s="29"/>
      <c r="EP164" s="29"/>
      <c r="EQ164" s="29"/>
      <c r="ER164" s="29"/>
      <c r="ES164" s="29"/>
      <c r="ET164" s="29"/>
      <c r="EU164" s="29"/>
      <c r="EV164" s="30"/>
      <c r="EW164" s="30"/>
      <c r="EX164" s="30"/>
      <c r="EY164" s="30"/>
      <c r="EZ164" s="30"/>
      <c r="FA164" s="30"/>
      <c r="FB164" s="30"/>
      <c r="FC164" s="30"/>
      <c r="FD164" s="30"/>
      <c r="FE164" s="30"/>
      <c r="FF164" s="30"/>
      <c r="FG164" s="30"/>
      <c r="FH164" s="30"/>
      <c r="FI164" s="30"/>
      <c r="FJ164" s="30"/>
      <c r="FK164" s="30"/>
      <c r="FL164" s="30"/>
    </row>
    <row r="165" spans="1:168" ht="1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>
        <v>5</v>
      </c>
      <c r="AT165" s="234" t="s">
        <v>848</v>
      </c>
      <c r="AU165" s="234" t="s">
        <v>896</v>
      </c>
      <c r="AV165" s="234" t="s">
        <v>895</v>
      </c>
      <c r="AW165" s="234">
        <v>19</v>
      </c>
      <c r="AX165" s="234">
        <v>2</v>
      </c>
      <c r="AY165" s="234"/>
      <c r="AZ165" s="234"/>
      <c r="BA165" s="234"/>
      <c r="BB165" s="234"/>
      <c r="BC165" s="234"/>
      <c r="BD165" s="234"/>
      <c r="BE165" s="234">
        <v>4</v>
      </c>
      <c r="BF165" s="234">
        <v>5</v>
      </c>
      <c r="BG165" s="233"/>
      <c r="BH165" s="233"/>
      <c r="BI165" s="408"/>
      <c r="BJ165" s="408"/>
      <c r="BK165" s="408"/>
      <c r="BL165" s="408"/>
      <c r="BM165" s="408"/>
      <c r="BN165" s="233"/>
      <c r="BO165" s="233"/>
      <c r="BP165" s="233"/>
      <c r="BQ165" s="233"/>
      <c r="BR165" s="233"/>
      <c r="BS165" s="233"/>
      <c r="BT165" s="233"/>
      <c r="BU165" s="233"/>
      <c r="BV165" s="233"/>
      <c r="BW165" s="233"/>
      <c r="BX165" s="233"/>
      <c r="BY165" s="233"/>
      <c r="BZ165" s="233"/>
      <c r="CG165" s="233"/>
      <c r="CH165" s="233"/>
      <c r="CI165" s="233"/>
      <c r="CJ165" s="233"/>
      <c r="CK165" s="233"/>
      <c r="CL165" s="233"/>
      <c r="CM165" s="233"/>
      <c r="CN165" s="233"/>
      <c r="CO165" s="233"/>
      <c r="CP165" s="233"/>
      <c r="CQ165" s="233"/>
      <c r="CR165" s="233"/>
      <c r="CS165" s="233"/>
      <c r="CT165" s="233"/>
      <c r="CU165" s="233"/>
      <c r="CV165" s="233"/>
      <c r="CW165" s="233"/>
      <c r="CX165" s="233"/>
      <c r="CY165" s="233"/>
      <c r="CZ165" s="233"/>
      <c r="DA165" s="233"/>
      <c r="DB165" s="233"/>
      <c r="DC165" s="233"/>
      <c r="DD165" s="233"/>
      <c r="DE165" s="29"/>
      <c r="DF165" s="29"/>
      <c r="DG165" s="29"/>
      <c r="DH165" s="29"/>
      <c r="DI165" s="29"/>
      <c r="DJ165" s="29"/>
      <c r="DK165" s="29"/>
      <c r="DL165" s="29"/>
      <c r="DM165" s="29"/>
      <c r="DN165" s="29"/>
      <c r="DO165" s="29"/>
      <c r="DP165" s="29"/>
      <c r="DQ165" s="29"/>
      <c r="DR165" s="29"/>
      <c r="DS165" s="29"/>
      <c r="DT165" s="29"/>
      <c r="DU165" s="29"/>
      <c r="DV165" s="29"/>
      <c r="DW165" s="279" t="s">
        <v>1400</v>
      </c>
      <c r="DX165" s="283" t="s">
        <v>1396</v>
      </c>
      <c r="DY165" s="280">
        <v>4000</v>
      </c>
      <c r="DZ165" s="308" t="s">
        <v>1397</v>
      </c>
      <c r="EA165" s="308" t="s">
        <v>450</v>
      </c>
      <c r="EB165" s="428"/>
      <c r="EC165" s="428"/>
      <c r="ED165" s="428"/>
      <c r="EE165" s="428"/>
      <c r="EF165" s="428"/>
      <c r="EG165" s="428"/>
      <c r="EH165" s="428"/>
      <c r="EI165" s="428"/>
      <c r="EJ165" s="428"/>
      <c r="EK165" s="428"/>
      <c r="EL165" s="428"/>
      <c r="EM165" s="428"/>
      <c r="EN165" s="29"/>
      <c r="EO165" s="29"/>
      <c r="EP165" s="29"/>
      <c r="EQ165" s="29"/>
      <c r="ER165" s="29"/>
      <c r="ES165" s="29"/>
      <c r="ET165" s="29"/>
      <c r="EU165" s="29"/>
      <c r="EV165" s="30"/>
      <c r="EW165" s="30"/>
      <c r="EX165" s="30"/>
      <c r="EY165" s="30"/>
      <c r="EZ165" s="30"/>
      <c r="FA165" s="30"/>
      <c r="FB165" s="30"/>
      <c r="FC165" s="30"/>
      <c r="FD165" s="30"/>
      <c r="FE165" s="30"/>
      <c r="FF165" s="30"/>
      <c r="FG165" s="30"/>
      <c r="FH165" s="30"/>
      <c r="FI165" s="30"/>
      <c r="FJ165" s="30"/>
      <c r="FK165" s="30"/>
      <c r="FL165" s="30"/>
    </row>
    <row r="166" spans="1:168" ht="1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>
        <v>6</v>
      </c>
      <c r="AT166" s="234" t="s">
        <v>1425</v>
      </c>
      <c r="AU166" s="234" t="s">
        <v>897</v>
      </c>
      <c r="AV166" s="234" t="s">
        <v>901</v>
      </c>
      <c r="AW166" s="234">
        <v>20</v>
      </c>
      <c r="AX166" s="234">
        <v>3</v>
      </c>
      <c r="AY166" s="234"/>
      <c r="AZ166" s="234"/>
      <c r="BA166" s="234"/>
      <c r="BB166" s="234"/>
      <c r="BC166" s="234"/>
      <c r="BD166" s="234"/>
      <c r="BE166" s="234">
        <v>9</v>
      </c>
      <c r="BF166" s="234">
        <v>12</v>
      </c>
      <c r="BG166" s="233"/>
      <c r="BH166" s="233"/>
      <c r="BI166" s="408"/>
      <c r="BJ166" s="408"/>
      <c r="BK166" s="408"/>
      <c r="BL166" s="408"/>
      <c r="BM166" s="408"/>
      <c r="BN166" s="233"/>
      <c r="BO166" s="233"/>
      <c r="BP166" s="233"/>
      <c r="BQ166" s="233"/>
      <c r="BR166" s="233"/>
      <c r="BS166" s="233"/>
      <c r="BT166" s="233"/>
      <c r="BU166" s="233"/>
      <c r="BV166" s="233"/>
      <c r="BW166" s="233"/>
      <c r="BX166" s="233"/>
      <c r="BY166" s="233"/>
      <c r="BZ166" s="233"/>
      <c r="CG166" s="233"/>
      <c r="CH166" s="233"/>
      <c r="CI166" s="233"/>
      <c r="CJ166" s="233"/>
      <c r="CK166" s="233"/>
      <c r="CL166" s="233"/>
      <c r="CM166" s="233"/>
      <c r="CN166" s="233"/>
      <c r="CO166" s="233"/>
      <c r="CP166" s="233"/>
      <c r="CQ166" s="233"/>
      <c r="CR166" s="233"/>
      <c r="CS166" s="233"/>
      <c r="CT166" s="233"/>
      <c r="CU166" s="233"/>
      <c r="CV166" s="233"/>
      <c r="CW166" s="233"/>
      <c r="CX166" s="233"/>
      <c r="CY166" s="233"/>
      <c r="CZ166" s="233"/>
      <c r="DA166" s="233"/>
      <c r="DB166" s="233"/>
      <c r="DC166" s="233"/>
      <c r="DD166" s="233"/>
      <c r="DE166" s="29"/>
      <c r="DF166" s="29"/>
      <c r="DG166" s="29"/>
      <c r="DH166" s="29"/>
      <c r="DI166" s="29"/>
      <c r="DJ166" s="29"/>
      <c r="DK166" s="29"/>
      <c r="DL166" s="29"/>
      <c r="DM166" s="29"/>
      <c r="DN166" s="29"/>
      <c r="DO166" s="29"/>
      <c r="DP166" s="29"/>
      <c r="DQ166" s="29"/>
      <c r="DR166" s="29"/>
      <c r="DS166" s="29"/>
      <c r="DT166" s="29"/>
      <c r="DU166" s="29"/>
      <c r="DV166" s="29"/>
      <c r="DW166" s="329" t="s">
        <v>1402</v>
      </c>
      <c r="DX166" s="310" t="s">
        <v>1398</v>
      </c>
      <c r="DY166" s="311">
        <v>6375</v>
      </c>
      <c r="DZ166" s="309" t="s">
        <v>1399</v>
      </c>
      <c r="EA166" s="309">
        <v>1</v>
      </c>
      <c r="EB166" s="428"/>
      <c r="EC166" s="428"/>
      <c r="ED166" s="428"/>
      <c r="EE166" s="428"/>
      <c r="EF166" s="428"/>
      <c r="EG166" s="428"/>
      <c r="EH166" s="428"/>
      <c r="EI166" s="428"/>
      <c r="EJ166" s="428"/>
      <c r="EK166" s="428"/>
      <c r="EL166" s="428"/>
      <c r="EM166" s="428"/>
      <c r="EN166" s="29"/>
      <c r="EO166" s="29"/>
      <c r="EP166" s="29"/>
      <c r="EQ166" s="29"/>
      <c r="ER166" s="29"/>
      <c r="ES166" s="29"/>
      <c r="ET166" s="29"/>
      <c r="EU166" s="29"/>
      <c r="EV166" s="30"/>
      <c r="EW166" s="30"/>
      <c r="EX166" s="30"/>
      <c r="EY166" s="30"/>
      <c r="EZ166" s="30"/>
      <c r="FA166" s="30"/>
      <c r="FB166" s="30"/>
      <c r="FC166" s="30"/>
      <c r="FD166" s="30"/>
      <c r="FE166" s="30"/>
      <c r="FF166" s="30"/>
      <c r="FG166" s="30"/>
      <c r="FH166" s="30"/>
      <c r="FI166" s="30"/>
      <c r="FJ166" s="30"/>
      <c r="FK166" s="30"/>
      <c r="FL166" s="30"/>
    </row>
    <row r="167" spans="1:168" ht="1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>
        <v>7</v>
      </c>
      <c r="AT167" s="234" t="s">
        <v>888</v>
      </c>
      <c r="AU167" s="234" t="s">
        <v>898</v>
      </c>
      <c r="AV167" s="234" t="s">
        <v>894</v>
      </c>
      <c r="AW167" s="234">
        <v>20</v>
      </c>
      <c r="AX167" s="234">
        <v>2</v>
      </c>
      <c r="AY167" s="234"/>
      <c r="AZ167" s="234"/>
      <c r="BA167" s="234"/>
      <c r="BB167" s="234"/>
      <c r="BC167" s="234"/>
      <c r="BD167" s="234"/>
      <c r="BE167" s="234">
        <v>0</v>
      </c>
      <c r="BF167" s="234">
        <v>0</v>
      </c>
      <c r="BG167" s="233"/>
      <c r="BH167" s="233"/>
      <c r="BI167" s="408"/>
      <c r="BJ167" s="408"/>
      <c r="BK167" s="408"/>
      <c r="BL167" s="408"/>
      <c r="BM167" s="408"/>
      <c r="BN167" s="233"/>
      <c r="BO167" s="233"/>
      <c r="BP167" s="233"/>
      <c r="BQ167" s="233"/>
      <c r="BR167" s="233"/>
      <c r="BS167" s="233"/>
      <c r="BT167" s="233"/>
      <c r="BU167" s="233"/>
      <c r="BV167" s="233"/>
      <c r="BW167" s="233"/>
      <c r="BX167" s="233"/>
      <c r="BY167" s="233"/>
      <c r="BZ167" s="233"/>
      <c r="CG167" s="233"/>
      <c r="CH167" s="233"/>
      <c r="CI167" s="233"/>
      <c r="CJ167" s="233"/>
      <c r="CK167" s="233"/>
      <c r="CL167" s="233"/>
      <c r="CM167" s="233"/>
      <c r="CN167" s="233"/>
      <c r="CO167" s="233"/>
      <c r="CP167" s="233"/>
      <c r="CQ167" s="233"/>
      <c r="CR167" s="233"/>
      <c r="CS167" s="233"/>
      <c r="CT167" s="233"/>
      <c r="CU167" s="233"/>
      <c r="CV167" s="233"/>
      <c r="CW167" s="233"/>
      <c r="CX167" s="233"/>
      <c r="CY167" s="233"/>
      <c r="CZ167" s="233"/>
      <c r="DA167" s="233"/>
      <c r="DB167" s="233"/>
      <c r="DC167" s="233"/>
      <c r="DD167" s="233"/>
      <c r="DE167" s="29"/>
      <c r="DF167" s="29"/>
      <c r="DG167" s="29"/>
      <c r="DH167" s="29"/>
      <c r="DI167" s="29"/>
      <c r="DJ167" s="29"/>
      <c r="DK167" s="29"/>
      <c r="DL167" s="29"/>
      <c r="DM167" s="29"/>
      <c r="DN167" s="29"/>
      <c r="DO167" s="29"/>
      <c r="DP167" s="29"/>
      <c r="DQ167" s="29"/>
      <c r="DR167" s="29"/>
      <c r="DS167" s="29"/>
      <c r="DT167" s="29"/>
      <c r="DU167" s="29"/>
      <c r="DV167" s="29"/>
      <c r="DW167" s="279" t="s">
        <v>1403</v>
      </c>
      <c r="DX167" s="279" t="s">
        <v>1400</v>
      </c>
      <c r="DY167" s="280">
        <v>13800</v>
      </c>
      <c r="DZ167" s="308" t="s">
        <v>1401</v>
      </c>
      <c r="EA167" s="308" t="s">
        <v>847</v>
      </c>
      <c r="EB167" s="428"/>
      <c r="EC167" s="428"/>
      <c r="ED167" s="428"/>
      <c r="EE167" s="428"/>
      <c r="EF167" s="428"/>
      <c r="EG167" s="428"/>
      <c r="EH167" s="428"/>
      <c r="EI167" s="428"/>
      <c r="EJ167" s="428"/>
      <c r="EK167" s="428"/>
      <c r="EL167" s="428"/>
      <c r="EM167" s="428"/>
      <c r="EN167" s="29"/>
      <c r="EO167" s="29"/>
      <c r="EP167" s="29"/>
      <c r="EQ167" s="29"/>
      <c r="ER167" s="29"/>
      <c r="ES167" s="29"/>
      <c r="ET167" s="29"/>
      <c r="EU167" s="29"/>
      <c r="EV167" s="30"/>
      <c r="EW167" s="30"/>
      <c r="EX167" s="30"/>
      <c r="EY167" s="30"/>
      <c r="EZ167" s="30"/>
      <c r="FA167" s="30"/>
      <c r="FB167" s="30"/>
      <c r="FC167" s="30"/>
      <c r="FD167" s="30"/>
      <c r="FE167" s="30"/>
      <c r="FF167" s="30"/>
      <c r="FG167" s="30"/>
      <c r="FH167" s="30"/>
      <c r="FI167" s="30"/>
      <c r="FJ167" s="30"/>
      <c r="FK167" s="30"/>
      <c r="FL167" s="30"/>
    </row>
    <row r="168" spans="1:168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>
        <v>8</v>
      </c>
      <c r="AT168" s="234" t="s">
        <v>846</v>
      </c>
      <c r="AU168" s="234" t="s">
        <v>893</v>
      </c>
      <c r="AV168" s="234" t="s">
        <v>894</v>
      </c>
      <c r="AW168" s="234">
        <v>20</v>
      </c>
      <c r="AX168" s="234">
        <v>2</v>
      </c>
      <c r="AY168" s="234"/>
      <c r="AZ168" s="234"/>
      <c r="BA168" s="234"/>
      <c r="BB168" s="234"/>
      <c r="BC168" s="234"/>
      <c r="BD168" s="234">
        <v>10</v>
      </c>
      <c r="BE168" s="234">
        <v>0.5</v>
      </c>
      <c r="BF168" s="234">
        <v>1</v>
      </c>
      <c r="BG168" s="233"/>
      <c r="BH168" s="233"/>
      <c r="BI168" s="408"/>
      <c r="BJ168" s="408"/>
      <c r="BK168" s="408"/>
      <c r="BL168" s="408"/>
      <c r="BM168" s="408"/>
      <c r="BN168" s="233"/>
      <c r="BO168" s="233"/>
      <c r="BP168" s="233"/>
      <c r="BQ168" s="233"/>
      <c r="BR168" s="233"/>
      <c r="BS168" s="233"/>
      <c r="BT168" s="233"/>
      <c r="BU168" s="233"/>
      <c r="BV168" s="233"/>
      <c r="BW168" s="233"/>
      <c r="BX168" s="233"/>
      <c r="BY168" s="233"/>
      <c r="BZ168" s="233"/>
      <c r="CG168" s="233"/>
      <c r="CH168" s="233"/>
      <c r="CI168" s="233"/>
      <c r="CJ168" s="233"/>
      <c r="CK168" s="233"/>
      <c r="CL168" s="233"/>
      <c r="CM168" s="233"/>
      <c r="CN168" s="233"/>
      <c r="CO168" s="233"/>
      <c r="CP168" s="233"/>
      <c r="CQ168" s="233"/>
      <c r="CR168" s="233"/>
      <c r="CS168" s="233"/>
      <c r="CT168" s="233"/>
      <c r="CU168" s="233"/>
      <c r="CV168" s="233"/>
      <c r="CW168" s="233"/>
      <c r="CX168" s="233"/>
      <c r="CY168" s="233"/>
      <c r="CZ168" s="233"/>
      <c r="DA168" s="233"/>
      <c r="DB168" s="233"/>
      <c r="DC168" s="233"/>
      <c r="DD168" s="233"/>
      <c r="DE168" s="29"/>
      <c r="DF168" s="29"/>
      <c r="DG168" s="29"/>
      <c r="DH168" s="29"/>
      <c r="DI168" s="29"/>
      <c r="DJ168" s="29"/>
      <c r="DK168" s="29"/>
      <c r="DL168" s="29"/>
      <c r="DM168" s="29"/>
      <c r="DN168" s="29"/>
      <c r="DO168" s="29"/>
      <c r="DP168" s="29"/>
      <c r="DQ168" s="29"/>
      <c r="DR168" s="29"/>
      <c r="DS168" s="29"/>
      <c r="DT168" s="29"/>
      <c r="DU168" s="29"/>
      <c r="DV168" s="29"/>
      <c r="DW168" s="281" t="s">
        <v>1405</v>
      </c>
      <c r="DX168" s="282" t="s">
        <v>1402</v>
      </c>
      <c r="DY168" s="309"/>
      <c r="DZ168" s="309"/>
      <c r="EA168" s="309"/>
      <c r="EB168" s="428"/>
      <c r="EC168" s="428"/>
      <c r="ED168" s="428"/>
      <c r="EE168" s="428"/>
      <c r="EF168" s="428"/>
      <c r="EG168" s="428"/>
      <c r="EH168" s="428"/>
      <c r="EI168" s="428"/>
      <c r="EJ168" s="428"/>
      <c r="EK168" s="428"/>
      <c r="EL168" s="428"/>
      <c r="EM168" s="428"/>
      <c r="EN168" s="29"/>
      <c r="EO168" s="29"/>
      <c r="EP168" s="29"/>
      <c r="EQ168" s="29"/>
      <c r="ER168" s="29"/>
      <c r="ES168" s="29"/>
      <c r="ET168" s="29"/>
      <c r="EU168" s="29"/>
      <c r="EV168" s="30"/>
      <c r="EW168" s="30"/>
      <c r="EX168" s="30"/>
      <c r="EY168" s="30"/>
      <c r="EZ168" s="30"/>
      <c r="FA168" s="30"/>
      <c r="FB168" s="30"/>
      <c r="FC168" s="30"/>
      <c r="FD168" s="30"/>
      <c r="FE168" s="30"/>
      <c r="FF168" s="30"/>
      <c r="FG168" s="30"/>
      <c r="FH168" s="30"/>
      <c r="FI168" s="30"/>
      <c r="FJ168" s="30"/>
      <c r="FK168" s="30"/>
      <c r="FL168" s="30"/>
    </row>
    <row r="169" spans="1:168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>
        <v>9</v>
      </c>
      <c r="AT169" s="234" t="s">
        <v>1427</v>
      </c>
      <c r="AU169" s="234" t="s">
        <v>900</v>
      </c>
      <c r="AV169" s="234" t="s">
        <v>903</v>
      </c>
      <c r="AW169" s="234">
        <v>19</v>
      </c>
      <c r="AX169" s="234">
        <v>2</v>
      </c>
      <c r="AY169" s="234"/>
      <c r="AZ169" s="234"/>
      <c r="BA169" s="234"/>
      <c r="BB169" s="234"/>
      <c r="BC169" s="234"/>
      <c r="BD169" s="234"/>
      <c r="BE169" s="234">
        <v>4</v>
      </c>
      <c r="BF169" s="234">
        <v>5</v>
      </c>
      <c r="BG169" s="233"/>
      <c r="BH169" s="233"/>
      <c r="BI169" s="408"/>
      <c r="BJ169" s="408"/>
      <c r="BK169" s="408"/>
      <c r="BL169" s="408"/>
      <c r="BM169" s="408"/>
      <c r="BN169" s="233"/>
      <c r="BO169" s="233"/>
      <c r="BP169" s="233"/>
      <c r="BQ169" s="233"/>
      <c r="BR169" s="233"/>
      <c r="BS169" s="233"/>
      <c r="BT169" s="233"/>
      <c r="BU169" s="233"/>
      <c r="BV169" s="233"/>
      <c r="BW169" s="233"/>
      <c r="BX169" s="233"/>
      <c r="BY169" s="233"/>
      <c r="BZ169" s="233"/>
      <c r="CG169" s="233"/>
      <c r="CH169" s="233"/>
      <c r="CI169" s="233"/>
      <c r="CJ169" s="233"/>
      <c r="CK169" s="233"/>
      <c r="CL169" s="233"/>
      <c r="CM169" s="233"/>
      <c r="CN169" s="233"/>
      <c r="CO169" s="233"/>
      <c r="CP169" s="233"/>
      <c r="CQ169" s="233"/>
      <c r="CR169" s="233"/>
      <c r="CS169" s="233"/>
      <c r="CT169" s="233"/>
      <c r="CU169" s="233"/>
      <c r="CV169" s="233"/>
      <c r="CW169" s="233"/>
      <c r="CX169" s="233"/>
      <c r="CY169" s="233"/>
      <c r="CZ169" s="233"/>
      <c r="DA169" s="233"/>
      <c r="DB169" s="233"/>
      <c r="DC169" s="233"/>
      <c r="DD169" s="233"/>
      <c r="DE169" s="29"/>
      <c r="DF169" s="29"/>
      <c r="DG169" s="29"/>
      <c r="DH169" s="29"/>
      <c r="DI169" s="29"/>
      <c r="DJ169" s="29"/>
      <c r="DK169" s="29"/>
      <c r="DL169" s="29"/>
      <c r="DM169" s="29"/>
      <c r="DN169" s="29"/>
      <c r="DO169" s="29"/>
      <c r="DP169" s="29"/>
      <c r="DQ169" s="29"/>
      <c r="DR169" s="29"/>
      <c r="DS169" s="29"/>
      <c r="DT169" s="29"/>
      <c r="DU169" s="29"/>
      <c r="DV169" s="29"/>
      <c r="DW169" s="279" t="s">
        <v>1406</v>
      </c>
      <c r="DX169" s="279" t="s">
        <v>1403</v>
      </c>
      <c r="DY169" s="280">
        <v>3500</v>
      </c>
      <c r="DZ169" s="308" t="s">
        <v>1386</v>
      </c>
      <c r="EA169" s="308" t="s">
        <v>1404</v>
      </c>
      <c r="EB169" s="428"/>
      <c r="EC169" s="428"/>
      <c r="ED169" s="428"/>
      <c r="EE169" s="428"/>
      <c r="EF169" s="428"/>
      <c r="EG169" s="428"/>
      <c r="EH169" s="428"/>
      <c r="EI169" s="428"/>
      <c r="EJ169" s="428"/>
      <c r="EK169" s="428"/>
      <c r="EL169" s="428"/>
      <c r="EM169" s="428"/>
      <c r="EN169" s="29"/>
      <c r="EO169" s="29"/>
      <c r="EP169" s="29"/>
      <c r="EQ169" s="29"/>
      <c r="ER169" s="29"/>
      <c r="ES169" s="29"/>
      <c r="ET169" s="29"/>
      <c r="EU169" s="29"/>
      <c r="EV169" s="30"/>
      <c r="EW169" s="30"/>
      <c r="EX169" s="30"/>
      <c r="EY169" s="30"/>
      <c r="EZ169" s="30"/>
      <c r="FA169" s="30"/>
      <c r="FB169" s="30"/>
      <c r="FC169" s="30"/>
      <c r="FD169" s="30"/>
      <c r="FE169" s="30"/>
      <c r="FF169" s="30"/>
      <c r="FG169" s="30"/>
      <c r="FH169" s="30"/>
      <c r="FI169" s="30"/>
      <c r="FJ169" s="30"/>
      <c r="FK169" s="30"/>
      <c r="FL169" s="30"/>
    </row>
    <row r="170" spans="1:168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>
        <v>10</v>
      </c>
      <c r="AT170" s="234" t="s">
        <v>1428</v>
      </c>
      <c r="AU170" s="234" t="s">
        <v>900</v>
      </c>
      <c r="AV170" s="234" t="s">
        <v>903</v>
      </c>
      <c r="AW170" s="234">
        <v>19</v>
      </c>
      <c r="AX170" s="234">
        <v>2</v>
      </c>
      <c r="AY170" s="234"/>
      <c r="AZ170" s="234"/>
      <c r="BA170" s="234"/>
      <c r="BB170" s="234"/>
      <c r="BC170" s="234"/>
      <c r="BD170" s="234"/>
      <c r="BE170" s="234">
        <v>4</v>
      </c>
      <c r="BF170" s="234">
        <v>5</v>
      </c>
      <c r="BG170" s="233"/>
      <c r="BH170" s="233"/>
      <c r="BI170" s="408"/>
      <c r="BJ170" s="408"/>
      <c r="BK170" s="408"/>
      <c r="BL170" s="408"/>
      <c r="BM170" s="408"/>
      <c r="BN170" s="233"/>
      <c r="BO170" s="233"/>
      <c r="BP170" s="233"/>
      <c r="BQ170" s="233"/>
      <c r="BR170" s="233"/>
      <c r="BS170" s="233"/>
      <c r="BT170" s="233"/>
      <c r="BU170" s="233"/>
      <c r="BV170" s="233"/>
      <c r="BW170" s="233"/>
      <c r="BX170" s="233"/>
      <c r="BY170" s="233"/>
      <c r="BZ170" s="233"/>
      <c r="CG170" s="233"/>
      <c r="CH170" s="233"/>
      <c r="CI170" s="233"/>
      <c r="CJ170" s="233"/>
      <c r="CK170" s="233"/>
      <c r="CL170" s="233"/>
      <c r="CM170" s="233"/>
      <c r="CN170" s="233"/>
      <c r="CO170" s="233"/>
      <c r="CP170" s="233"/>
      <c r="CQ170" s="233"/>
      <c r="CR170" s="233"/>
      <c r="CS170" s="233"/>
      <c r="CT170" s="233"/>
      <c r="CU170" s="233"/>
      <c r="CV170" s="233"/>
      <c r="CW170" s="233"/>
      <c r="CX170" s="233"/>
      <c r="CY170" s="233"/>
      <c r="CZ170" s="233"/>
      <c r="DA170" s="233"/>
      <c r="DB170" s="233"/>
      <c r="DC170" s="233"/>
      <c r="DD170" s="233"/>
      <c r="DE170" s="29"/>
      <c r="DF170" s="29"/>
      <c r="DG170" s="29"/>
      <c r="DH170" s="29"/>
      <c r="DI170" s="29"/>
      <c r="DJ170" s="29"/>
      <c r="DK170" s="29"/>
      <c r="DL170" s="29"/>
      <c r="DM170" s="29"/>
      <c r="DN170" s="29"/>
      <c r="DO170" s="29"/>
      <c r="DP170" s="29"/>
      <c r="DQ170" s="29"/>
      <c r="DR170" s="29"/>
      <c r="DS170" s="29"/>
      <c r="DT170" s="29"/>
      <c r="DU170" s="29"/>
      <c r="DV170" s="29"/>
      <c r="DW170" s="310" t="s">
        <v>1408</v>
      </c>
      <c r="DX170" s="281" t="s">
        <v>1405</v>
      </c>
      <c r="DY170" s="311">
        <v>4000</v>
      </c>
      <c r="DZ170" s="309" t="s">
        <v>1383</v>
      </c>
      <c r="EA170" s="309" t="s">
        <v>1404</v>
      </c>
      <c r="EB170" s="428"/>
      <c r="EC170" s="428"/>
      <c r="ED170" s="428"/>
      <c r="EE170" s="428"/>
      <c r="EF170" s="428"/>
      <c r="EG170" s="428"/>
      <c r="EH170" s="428"/>
      <c r="EI170" s="428"/>
      <c r="EJ170" s="428"/>
      <c r="EK170" s="428"/>
      <c r="EL170" s="428"/>
      <c r="EM170" s="428"/>
      <c r="EN170" s="29"/>
      <c r="EO170" s="29"/>
      <c r="EP170" s="29"/>
      <c r="EQ170" s="29"/>
      <c r="ER170" s="29"/>
      <c r="ES170" s="29"/>
      <c r="ET170" s="29"/>
      <c r="EU170" s="29"/>
      <c r="EV170" s="30"/>
      <c r="EW170" s="30"/>
      <c r="EX170" s="30"/>
      <c r="EY170" s="30"/>
      <c r="EZ170" s="30"/>
      <c r="FA170" s="30"/>
      <c r="FB170" s="30"/>
      <c r="FC170" s="30"/>
      <c r="FD170" s="30"/>
      <c r="FE170" s="30"/>
      <c r="FF170" s="30"/>
      <c r="FG170" s="30"/>
      <c r="FH170" s="30"/>
      <c r="FI170" s="30"/>
      <c r="FJ170" s="30"/>
      <c r="FK170" s="30"/>
      <c r="FL170" s="30"/>
    </row>
    <row r="171" spans="1:168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>
        <v>11</v>
      </c>
      <c r="AT171" s="234" t="s">
        <v>1426</v>
      </c>
      <c r="AU171" s="234" t="s">
        <v>898</v>
      </c>
      <c r="AV171" s="234" t="s">
        <v>894</v>
      </c>
      <c r="AW171" s="234">
        <v>18</v>
      </c>
      <c r="AX171" s="234">
        <v>2</v>
      </c>
      <c r="AY171" s="234"/>
      <c r="AZ171" s="234"/>
      <c r="BA171" s="234"/>
      <c r="BB171" s="234"/>
      <c r="BC171" s="234"/>
      <c r="BD171" s="234"/>
      <c r="BE171" s="234">
        <v>0.5</v>
      </c>
      <c r="BF171" s="234">
        <v>1</v>
      </c>
      <c r="BG171" s="233"/>
      <c r="BH171" s="233"/>
      <c r="BI171" s="408"/>
      <c r="BJ171" s="408"/>
      <c r="BK171" s="408"/>
      <c r="BL171" s="408"/>
      <c r="BM171" s="408"/>
      <c r="BN171" s="233"/>
      <c r="BO171" s="233"/>
      <c r="BP171" s="233"/>
      <c r="BQ171" s="233"/>
      <c r="BR171" s="233"/>
      <c r="BS171" s="233"/>
      <c r="BT171" s="233"/>
      <c r="BU171" s="233"/>
      <c r="BV171" s="233"/>
      <c r="BW171" s="233"/>
      <c r="BX171" s="233"/>
      <c r="BY171" s="233"/>
      <c r="BZ171" s="233"/>
      <c r="CG171" s="233"/>
      <c r="CH171" s="233"/>
      <c r="CI171" s="233"/>
      <c r="CJ171" s="233"/>
      <c r="CK171" s="233"/>
      <c r="CL171" s="233"/>
      <c r="CM171" s="233"/>
      <c r="CN171" s="233"/>
      <c r="CO171" s="233"/>
      <c r="CP171" s="233"/>
      <c r="CQ171" s="233"/>
      <c r="CR171" s="233"/>
      <c r="CS171" s="233"/>
      <c r="CT171" s="233"/>
      <c r="CU171" s="233"/>
      <c r="CV171" s="233"/>
      <c r="CW171" s="233"/>
      <c r="CX171" s="233"/>
      <c r="CY171" s="233"/>
      <c r="CZ171" s="233"/>
      <c r="DA171" s="233"/>
      <c r="DB171" s="233"/>
      <c r="DC171" s="233"/>
      <c r="DD171" s="233"/>
      <c r="DE171" s="29"/>
      <c r="DF171" s="29"/>
      <c r="DG171" s="29"/>
      <c r="DH171" s="29"/>
      <c r="DI171" s="29"/>
      <c r="DJ171" s="29"/>
      <c r="DK171" s="29"/>
      <c r="DL171" s="29"/>
      <c r="DM171" s="29"/>
      <c r="DN171" s="29"/>
      <c r="DO171" s="29"/>
      <c r="DP171" s="29"/>
      <c r="DQ171" s="29"/>
      <c r="DR171" s="29"/>
      <c r="DS171" s="29"/>
      <c r="DT171" s="29"/>
      <c r="DU171" s="29"/>
      <c r="DV171" s="29"/>
      <c r="DW171" s="328" t="s">
        <v>1421</v>
      </c>
      <c r="DX171" s="279" t="s">
        <v>1406</v>
      </c>
      <c r="DY171" s="280">
        <v>4600</v>
      </c>
      <c r="DZ171" s="308" t="s">
        <v>1407</v>
      </c>
      <c r="EA171" s="308" t="s">
        <v>517</v>
      </c>
      <c r="EB171" s="29"/>
      <c r="EC171" s="409"/>
      <c r="ED171" s="409"/>
      <c r="EE171" s="409"/>
      <c r="EF171" s="409"/>
      <c r="EG171" s="409"/>
      <c r="EH171" s="97"/>
      <c r="EI171" s="97"/>
      <c r="EJ171" s="97"/>
      <c r="EK171" s="97"/>
      <c r="EL171" s="97"/>
      <c r="EM171" s="29"/>
      <c r="EN171" s="29"/>
      <c r="EO171" s="29"/>
      <c r="EP171" s="29"/>
      <c r="EQ171" s="29"/>
      <c r="ER171" s="29"/>
      <c r="ES171" s="29"/>
      <c r="ET171" s="29"/>
      <c r="EU171" s="29"/>
      <c r="EV171" s="30"/>
      <c r="EW171" s="30"/>
      <c r="EX171" s="30"/>
      <c r="EY171" s="30"/>
      <c r="EZ171" s="30"/>
      <c r="FA171" s="30"/>
      <c r="FB171" s="30"/>
      <c r="FC171" s="30"/>
      <c r="FD171" s="30"/>
      <c r="FE171" s="30"/>
      <c r="FF171" s="30"/>
      <c r="FG171" s="30"/>
      <c r="FH171" s="30"/>
      <c r="FI171" s="30"/>
      <c r="FJ171" s="30"/>
      <c r="FK171" s="30"/>
      <c r="FL171" s="30"/>
    </row>
    <row r="172" spans="1:168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>
        <v>12</v>
      </c>
      <c r="AT172" s="234" t="s">
        <v>887</v>
      </c>
      <c r="AU172" s="234" t="s">
        <v>898</v>
      </c>
      <c r="AV172" s="234" t="s">
        <v>894</v>
      </c>
      <c r="AW172" s="234">
        <v>20</v>
      </c>
      <c r="AX172" s="234">
        <v>2</v>
      </c>
      <c r="AY172" s="234"/>
      <c r="AZ172" s="234"/>
      <c r="BA172" s="234"/>
      <c r="BB172" s="234"/>
      <c r="BC172" s="234"/>
      <c r="BD172" s="234"/>
      <c r="BE172" s="234">
        <v>0</v>
      </c>
      <c r="BF172" s="234">
        <v>0</v>
      </c>
      <c r="BG172" s="29"/>
      <c r="BH172" s="233"/>
      <c r="BI172" s="408"/>
      <c r="BJ172" s="408"/>
      <c r="BK172" s="408"/>
      <c r="BL172" s="408"/>
      <c r="BM172" s="408"/>
      <c r="BN172" s="233"/>
      <c r="BO172" s="233"/>
      <c r="BP172" s="233"/>
      <c r="BQ172" s="233"/>
      <c r="BR172" s="233"/>
      <c r="BS172" s="233"/>
      <c r="BT172" s="233"/>
      <c r="BU172" s="233"/>
      <c r="BV172" s="233"/>
      <c r="BW172" s="233"/>
      <c r="BX172" s="233"/>
      <c r="BY172" s="233"/>
      <c r="BZ172" s="233"/>
      <c r="CG172" s="233"/>
      <c r="CH172" s="233"/>
      <c r="CI172" s="233"/>
      <c r="CJ172" s="233"/>
      <c r="CK172" s="233"/>
      <c r="CL172" s="233"/>
      <c r="CM172" s="233"/>
      <c r="CN172" s="233"/>
      <c r="CO172" s="233"/>
      <c r="CP172" s="233"/>
      <c r="CQ172" s="233"/>
      <c r="CR172" s="233"/>
      <c r="CS172" s="233"/>
      <c r="CT172" s="233"/>
      <c r="CU172" s="233"/>
      <c r="CV172" s="233"/>
      <c r="CW172" s="233"/>
      <c r="CX172" s="233"/>
      <c r="CY172" s="233"/>
      <c r="CZ172" s="233"/>
      <c r="DA172" s="233"/>
      <c r="DB172" s="233"/>
      <c r="DC172" s="233"/>
      <c r="DD172" s="233"/>
      <c r="DE172" s="29"/>
      <c r="DF172" s="29"/>
      <c r="DG172" s="29"/>
      <c r="DH172" s="29"/>
      <c r="DI172" s="29"/>
      <c r="DJ172" s="29"/>
      <c r="DK172" s="29"/>
      <c r="DL172" s="29"/>
      <c r="DM172" s="29"/>
      <c r="DN172" s="29"/>
      <c r="DO172" s="29"/>
      <c r="DP172" s="29"/>
      <c r="DQ172" s="29"/>
      <c r="DR172" s="29"/>
      <c r="DS172" s="29"/>
      <c r="DT172" s="29"/>
      <c r="DU172" s="29"/>
      <c r="DV172" s="29"/>
      <c r="DW172" s="310" t="s">
        <v>1410</v>
      </c>
      <c r="DX172" s="310" t="s">
        <v>1408</v>
      </c>
      <c r="DY172" s="311">
        <v>5000</v>
      </c>
      <c r="DZ172" s="309" t="s">
        <v>1409</v>
      </c>
      <c r="EA172" s="309" t="s">
        <v>1404</v>
      </c>
      <c r="EB172" s="29"/>
      <c r="EC172" s="409"/>
      <c r="ED172" s="409"/>
      <c r="EE172" s="409"/>
      <c r="EF172" s="409"/>
      <c r="EG172" s="409"/>
      <c r="EH172" s="97"/>
      <c r="EI172" s="97"/>
      <c r="EJ172" s="97"/>
      <c r="EK172" s="97"/>
      <c r="EL172" s="97"/>
      <c r="EM172" s="29"/>
      <c r="EN172" s="29"/>
      <c r="EO172" s="29"/>
      <c r="EP172" s="29"/>
      <c r="EQ172" s="29"/>
      <c r="ER172" s="29"/>
      <c r="ES172" s="29"/>
      <c r="ET172" s="29"/>
      <c r="EU172" s="29"/>
      <c r="EV172" s="30"/>
      <c r="EW172" s="30"/>
      <c r="EX172" s="30"/>
      <c r="EY172" s="30"/>
      <c r="EZ172" s="30"/>
      <c r="FA172" s="30"/>
      <c r="FB172" s="30"/>
      <c r="FC172" s="30"/>
      <c r="FD172" s="30"/>
      <c r="FE172" s="30"/>
      <c r="FF172" s="30"/>
      <c r="FG172" s="30"/>
      <c r="FH172" s="30"/>
      <c r="FI172" s="30"/>
      <c r="FJ172" s="30"/>
      <c r="FK172" s="30"/>
      <c r="FL172" s="30"/>
    </row>
    <row r="173" spans="1:168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>
        <v>13</v>
      </c>
      <c r="AT173" s="234" t="s">
        <v>892</v>
      </c>
      <c r="AU173" s="234" t="s">
        <v>896</v>
      </c>
      <c r="AV173" s="234" t="s">
        <v>895</v>
      </c>
      <c r="AW173" s="234">
        <v>20</v>
      </c>
      <c r="AX173" s="234">
        <v>2</v>
      </c>
      <c r="AY173" s="234"/>
      <c r="AZ173" s="234"/>
      <c r="BA173" s="234"/>
      <c r="BB173" s="234"/>
      <c r="BC173" s="234"/>
      <c r="BD173" s="234"/>
      <c r="BE173" s="234">
        <v>0</v>
      </c>
      <c r="BF173" s="234">
        <v>0</v>
      </c>
      <c r="BG173" s="29"/>
      <c r="BH173" s="233"/>
      <c r="BI173" s="408"/>
      <c r="BJ173" s="408"/>
      <c r="BK173" s="408"/>
      <c r="BL173" s="408"/>
      <c r="BM173" s="408"/>
      <c r="BN173" s="233"/>
      <c r="BO173" s="233"/>
      <c r="BP173" s="233"/>
      <c r="BQ173" s="233"/>
      <c r="BR173" s="233"/>
      <c r="BS173" s="233"/>
      <c r="BT173" s="233"/>
      <c r="BU173" s="233"/>
      <c r="BV173" s="233"/>
      <c r="BW173" s="233"/>
      <c r="BX173" s="233"/>
      <c r="BY173" s="233"/>
      <c r="BZ173" s="233"/>
      <c r="CG173" s="233"/>
      <c r="CH173" s="233"/>
      <c r="CI173" s="233"/>
      <c r="CJ173" s="233"/>
      <c r="CK173" s="233"/>
      <c r="CL173" s="233"/>
      <c r="CM173" s="233"/>
      <c r="CN173" s="233"/>
      <c r="CO173" s="233"/>
      <c r="CP173" s="233"/>
      <c r="CQ173" s="233"/>
      <c r="CR173" s="233"/>
      <c r="CS173" s="233"/>
      <c r="CT173" s="233"/>
      <c r="CU173" s="233"/>
      <c r="CV173" s="233"/>
      <c r="CW173" s="233"/>
      <c r="CX173" s="233"/>
      <c r="CY173" s="233"/>
      <c r="CZ173" s="233"/>
      <c r="DA173" s="233"/>
      <c r="DB173" s="233"/>
      <c r="DC173" s="233"/>
      <c r="DD173" s="233"/>
      <c r="DE173" s="29"/>
      <c r="DF173" s="29"/>
      <c r="DG173" s="29"/>
      <c r="DH173" s="29"/>
      <c r="DI173" s="29"/>
      <c r="DJ173" s="29"/>
      <c r="DK173" s="29"/>
      <c r="DL173" s="29"/>
      <c r="DM173" s="29"/>
      <c r="DN173" s="29"/>
      <c r="DO173" s="29"/>
      <c r="DP173" s="29"/>
      <c r="DQ173" s="29"/>
      <c r="DR173" s="29"/>
      <c r="DS173" s="29"/>
      <c r="DT173" s="29"/>
      <c r="DU173" s="29"/>
      <c r="DV173" s="29"/>
      <c r="DW173" s="279" t="s">
        <v>1412</v>
      </c>
      <c r="DX173" s="278" t="s">
        <v>1421</v>
      </c>
      <c r="DY173" s="308"/>
      <c r="DZ173" s="308"/>
      <c r="EA173" s="308"/>
      <c r="EB173" s="29"/>
      <c r="EC173" s="409"/>
      <c r="ED173" s="409"/>
      <c r="EE173" s="409"/>
      <c r="EF173" s="409"/>
      <c r="EG173" s="409"/>
      <c r="EH173" s="97"/>
      <c r="EI173" s="97"/>
      <c r="EJ173" s="97"/>
      <c r="EK173" s="97"/>
      <c r="EL173" s="97"/>
      <c r="EM173" s="29"/>
      <c r="EN173" s="29"/>
      <c r="EO173" s="29"/>
      <c r="EP173" s="29"/>
      <c r="EQ173" s="29"/>
      <c r="ER173" s="29"/>
      <c r="ES173" s="29"/>
      <c r="ET173" s="29"/>
      <c r="EU173" s="29"/>
      <c r="EV173" s="30"/>
      <c r="EW173" s="30"/>
      <c r="EX173" s="30"/>
      <c r="EY173" s="30"/>
      <c r="EZ173" s="30"/>
      <c r="FA173" s="30"/>
      <c r="FB173" s="30"/>
      <c r="FC173" s="30"/>
      <c r="FD173" s="30"/>
      <c r="FE173" s="30"/>
      <c r="FF173" s="30"/>
      <c r="FG173" s="30"/>
      <c r="FH173" s="30"/>
      <c r="FI173" s="30"/>
      <c r="FJ173" s="30"/>
      <c r="FK173" s="30"/>
      <c r="FL173" s="30"/>
    </row>
    <row r="174" spans="1:168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>
        <v>14</v>
      </c>
      <c r="AT174" s="234" t="s">
        <v>889</v>
      </c>
      <c r="AU174" s="234" t="s">
        <v>896</v>
      </c>
      <c r="AV174" s="234" t="s">
        <v>895</v>
      </c>
      <c r="AW174" s="234">
        <v>20</v>
      </c>
      <c r="AX174" s="234">
        <v>2</v>
      </c>
      <c r="AY174" s="234"/>
      <c r="AZ174" s="234"/>
      <c r="BA174" s="234"/>
      <c r="BB174" s="234"/>
      <c r="BC174" s="234"/>
      <c r="BD174" s="234"/>
      <c r="BE174" s="234">
        <v>0</v>
      </c>
      <c r="BF174" s="234">
        <v>0</v>
      </c>
      <c r="BG174" s="29"/>
      <c r="BH174" s="233"/>
      <c r="BI174" s="408"/>
      <c r="BJ174" s="408"/>
      <c r="BK174" s="408"/>
      <c r="BL174" s="408"/>
      <c r="BM174" s="408"/>
      <c r="BN174" s="233"/>
      <c r="BO174" s="233"/>
      <c r="BP174" s="233"/>
      <c r="BQ174" s="233"/>
      <c r="BR174" s="233"/>
      <c r="BS174" s="233"/>
      <c r="BT174" s="233"/>
      <c r="BU174" s="233"/>
      <c r="BV174" s="233"/>
      <c r="BW174" s="233"/>
      <c r="BX174" s="233"/>
      <c r="BY174" s="233"/>
      <c r="BZ174" s="233"/>
      <c r="CG174" s="233"/>
      <c r="CH174" s="233"/>
      <c r="CI174" s="233"/>
      <c r="CJ174" s="233"/>
      <c r="CK174" s="233"/>
      <c r="CL174" s="233"/>
      <c r="CM174" s="233"/>
      <c r="CN174" s="233"/>
      <c r="CO174" s="233"/>
      <c r="CP174" s="233"/>
      <c r="CQ174" s="233"/>
      <c r="CR174" s="233"/>
      <c r="CS174" s="233"/>
      <c r="CT174" s="233"/>
      <c r="CU174" s="233"/>
      <c r="CV174" s="233"/>
      <c r="CW174" s="233"/>
      <c r="CX174" s="233"/>
      <c r="CY174" s="233"/>
      <c r="CZ174" s="233"/>
      <c r="DA174" s="233"/>
      <c r="DB174" s="233"/>
      <c r="DC174" s="233"/>
      <c r="DD174" s="233"/>
      <c r="DE174" s="29"/>
      <c r="DF174" s="29"/>
      <c r="DG174" s="29"/>
      <c r="DH174" s="29"/>
      <c r="DI174" s="29"/>
      <c r="DJ174" s="29"/>
      <c r="DK174" s="29"/>
      <c r="DL174" s="29"/>
      <c r="DM174" s="29"/>
      <c r="DN174" s="29"/>
      <c r="DO174" s="29"/>
      <c r="DP174" s="29"/>
      <c r="DQ174" s="29"/>
      <c r="DR174" s="29"/>
      <c r="DS174" s="29"/>
      <c r="DT174" s="29"/>
      <c r="DU174" s="29"/>
      <c r="DV174" s="29"/>
      <c r="DW174" s="310" t="s">
        <v>1414</v>
      </c>
      <c r="DX174" s="310" t="s">
        <v>1410</v>
      </c>
      <c r="DY174" s="311">
        <v>2010</v>
      </c>
      <c r="DZ174" s="309" t="s">
        <v>1411</v>
      </c>
      <c r="EA174" s="309">
        <v>1</v>
      </c>
      <c r="EB174" s="29"/>
      <c r="EC174" s="409"/>
      <c r="ED174" s="409"/>
      <c r="EE174" s="409"/>
      <c r="EF174" s="409"/>
      <c r="EG174" s="409"/>
      <c r="EH174" s="97"/>
      <c r="EI174" s="97"/>
      <c r="EJ174" s="97"/>
      <c r="EK174" s="97"/>
      <c r="EL174" s="97"/>
      <c r="EM174" s="29"/>
      <c r="EN174" s="29"/>
      <c r="EO174" s="29"/>
      <c r="EP174" s="29"/>
      <c r="EQ174" s="29"/>
      <c r="ER174" s="29"/>
      <c r="ES174" s="29"/>
      <c r="ET174" s="29"/>
      <c r="EU174" s="29"/>
      <c r="EV174" s="30"/>
      <c r="EW174" s="30"/>
      <c r="EX174" s="30"/>
      <c r="EY174" s="30"/>
      <c r="EZ174" s="30"/>
      <c r="FA174" s="30"/>
      <c r="FB174" s="30"/>
      <c r="FC174" s="30"/>
      <c r="FD174" s="30"/>
      <c r="FE174" s="30"/>
      <c r="FF174" s="30"/>
      <c r="FG174" s="30"/>
      <c r="FH174" s="30"/>
      <c r="FI174" s="30"/>
      <c r="FJ174" s="30"/>
      <c r="FK174" s="30"/>
      <c r="FL174" s="30"/>
    </row>
    <row r="175" spans="1:168" ht="1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>
        <v>15</v>
      </c>
      <c r="AT175" s="234" t="s">
        <v>865</v>
      </c>
      <c r="AU175" s="234" t="s">
        <v>897</v>
      </c>
      <c r="AV175" s="234" t="s">
        <v>901</v>
      </c>
      <c r="AW175" s="234">
        <v>19</v>
      </c>
      <c r="AX175" s="234">
        <v>2</v>
      </c>
      <c r="AY175" s="234"/>
      <c r="AZ175" s="234"/>
      <c r="BA175" s="234"/>
      <c r="BB175" s="234"/>
      <c r="BC175" s="234"/>
      <c r="BD175" s="234"/>
      <c r="BE175" s="234">
        <v>4</v>
      </c>
      <c r="BF175" s="234">
        <v>5</v>
      </c>
      <c r="BG175" s="29"/>
      <c r="BH175" s="233"/>
      <c r="BI175" s="408"/>
      <c r="BJ175" s="408"/>
      <c r="BK175" s="408"/>
      <c r="BL175" s="408"/>
      <c r="BM175" s="408"/>
      <c r="BN175" s="233"/>
      <c r="BO175" s="233"/>
      <c r="BP175" s="233"/>
      <c r="BQ175" s="233"/>
      <c r="BR175" s="233"/>
      <c r="BS175" s="233"/>
      <c r="BT175" s="233"/>
      <c r="BU175" s="233"/>
      <c r="BV175" s="233"/>
      <c r="BW175" s="233"/>
      <c r="BX175" s="233"/>
      <c r="BY175" s="233"/>
      <c r="BZ175" s="233"/>
      <c r="CG175" s="233"/>
      <c r="CH175" s="233"/>
      <c r="CI175" s="233"/>
      <c r="CJ175" s="233"/>
      <c r="CK175" s="233"/>
      <c r="CL175" s="233"/>
      <c r="CM175" s="233"/>
      <c r="CN175" s="233"/>
      <c r="CO175" s="233"/>
      <c r="CP175" s="233"/>
      <c r="CQ175" s="233"/>
      <c r="CR175" s="233"/>
      <c r="CS175" s="233"/>
      <c r="CT175" s="233"/>
      <c r="CU175" s="233"/>
      <c r="CV175" s="233"/>
      <c r="CW175" s="233"/>
      <c r="CX175" s="233"/>
      <c r="CY175" s="233"/>
      <c r="CZ175" s="233"/>
      <c r="DA175" s="233"/>
      <c r="DB175" s="233"/>
      <c r="DC175" s="233"/>
      <c r="DD175" s="233"/>
      <c r="DE175" s="29"/>
      <c r="DF175" s="29"/>
      <c r="DG175" s="29"/>
      <c r="DH175" s="29"/>
      <c r="DI175" s="29"/>
      <c r="DJ175" s="29"/>
      <c r="DK175" s="29"/>
      <c r="DL175" s="29"/>
      <c r="DM175" s="29"/>
      <c r="DN175" s="29"/>
      <c r="DO175" s="29"/>
      <c r="DP175" s="29"/>
      <c r="DQ175" s="29"/>
      <c r="DR175" s="29"/>
      <c r="DS175" s="29"/>
      <c r="DT175" s="29"/>
      <c r="DU175" s="29"/>
      <c r="DV175" s="29"/>
      <c r="DW175" s="279" t="s">
        <v>1416</v>
      </c>
      <c r="DX175" s="279" t="s">
        <v>1412</v>
      </c>
      <c r="DY175" s="280">
        <v>8010</v>
      </c>
      <c r="DZ175" s="308" t="s">
        <v>1413</v>
      </c>
      <c r="EA175" s="308">
        <v>1</v>
      </c>
      <c r="EB175" s="29"/>
      <c r="EC175" s="409"/>
      <c r="ED175" s="409"/>
      <c r="EE175" s="409"/>
      <c r="EF175" s="409"/>
      <c r="EG175" s="409"/>
      <c r="EH175" s="97"/>
      <c r="EI175" s="97"/>
      <c r="EJ175" s="97"/>
      <c r="EK175" s="97"/>
      <c r="EL175" s="97"/>
      <c r="EM175" s="29"/>
      <c r="EN175" s="29"/>
      <c r="EO175" s="29"/>
      <c r="EP175" s="29"/>
      <c r="EQ175" s="29"/>
      <c r="ER175" s="29"/>
      <c r="ES175" s="29"/>
      <c r="ET175" s="29"/>
      <c r="EU175" s="29"/>
      <c r="EV175" s="30"/>
      <c r="EW175" s="30"/>
      <c r="EX175" s="30"/>
      <c r="EY175" s="30"/>
      <c r="EZ175" s="30"/>
      <c r="FA175" s="30"/>
      <c r="FB175" s="30"/>
      <c r="FC175" s="30"/>
      <c r="FD175" s="30"/>
      <c r="FE175" s="30"/>
      <c r="FF175" s="30"/>
      <c r="FG175" s="30"/>
      <c r="FH175" s="30"/>
      <c r="FI175" s="30"/>
      <c r="FJ175" s="30"/>
      <c r="FK175" s="30"/>
      <c r="FL175" s="30"/>
    </row>
    <row r="176" spans="1:168" ht="15.75" thickBot="1" x14ac:dyDescent="0.3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>
        <v>16</v>
      </c>
      <c r="AT176" s="234" t="s">
        <v>1434</v>
      </c>
      <c r="AU176" s="234"/>
      <c r="AV176" s="234"/>
      <c r="AW176" s="234"/>
      <c r="AX176" s="234"/>
      <c r="AY176" s="234"/>
      <c r="AZ176" s="234"/>
      <c r="BA176" s="234"/>
      <c r="BB176" s="234"/>
      <c r="BC176" s="234"/>
      <c r="BD176" s="234"/>
      <c r="BE176" s="234"/>
      <c r="BF176" s="234"/>
      <c r="BG176" s="29"/>
      <c r="BH176" s="233"/>
      <c r="BI176" s="408"/>
      <c r="BJ176" s="408"/>
      <c r="BK176" s="408"/>
      <c r="BL176" s="408"/>
      <c r="BM176" s="408"/>
      <c r="BN176" s="233"/>
      <c r="BO176" s="233"/>
      <c r="BP176" s="233"/>
      <c r="BQ176" s="233"/>
      <c r="BR176" s="233"/>
      <c r="BS176" s="233"/>
      <c r="BT176" s="233"/>
      <c r="BU176" s="233"/>
      <c r="BV176" s="233"/>
      <c r="BW176" s="233"/>
      <c r="BX176" s="233"/>
      <c r="BY176" s="233"/>
      <c r="BZ176" s="233"/>
      <c r="CG176" s="233"/>
      <c r="CH176" s="233"/>
      <c r="CI176" s="233"/>
      <c r="CJ176" s="233"/>
      <c r="CK176" s="233"/>
      <c r="CL176" s="233"/>
      <c r="CM176" s="233"/>
      <c r="CN176" s="233"/>
      <c r="CO176" s="233"/>
      <c r="CP176" s="233"/>
      <c r="CQ176" s="233"/>
      <c r="CR176" s="233"/>
      <c r="CS176" s="233"/>
      <c r="CT176" s="233"/>
      <c r="CU176" s="233"/>
      <c r="CV176" s="233"/>
      <c r="CW176" s="233"/>
      <c r="CX176" s="233"/>
      <c r="CY176" s="233"/>
      <c r="CZ176" s="233"/>
      <c r="DA176" s="233"/>
      <c r="DB176" s="233"/>
      <c r="DC176" s="233"/>
      <c r="DD176" s="233"/>
      <c r="DE176" s="29"/>
      <c r="DF176" s="29"/>
      <c r="DG176" s="29"/>
      <c r="DH176" s="29"/>
      <c r="DI176" s="29"/>
      <c r="DJ176" s="29"/>
      <c r="DK176" s="29"/>
      <c r="DL176" s="29"/>
      <c r="DM176" s="29"/>
      <c r="DN176" s="29"/>
      <c r="DO176" s="29"/>
      <c r="DP176" s="29"/>
      <c r="DQ176" s="29"/>
      <c r="DR176" s="29"/>
      <c r="DS176" s="29"/>
      <c r="DT176" s="29"/>
      <c r="DU176" s="29"/>
      <c r="DV176" s="29"/>
      <c r="DW176" s="326" t="s">
        <v>1418</v>
      </c>
      <c r="DX176" s="310" t="s">
        <v>1414</v>
      </c>
      <c r="DY176" s="311">
        <v>18000</v>
      </c>
      <c r="DZ176" s="309" t="s">
        <v>1415</v>
      </c>
      <c r="EA176" s="309">
        <v>2</v>
      </c>
      <c r="EB176" s="29"/>
      <c r="EC176" s="409"/>
      <c r="ED176" s="409"/>
      <c r="EE176" s="409"/>
      <c r="EF176" s="409"/>
      <c r="EG176" s="409"/>
      <c r="EH176" s="97"/>
      <c r="EI176" s="97"/>
      <c r="EJ176" s="97"/>
      <c r="EK176" s="97"/>
      <c r="EL176" s="97"/>
      <c r="EM176" s="29"/>
      <c r="EN176" s="29"/>
      <c r="EO176" s="29"/>
      <c r="EP176" s="29"/>
      <c r="EQ176" s="29"/>
      <c r="ER176" s="29"/>
      <c r="ES176" s="29"/>
      <c r="ET176" s="29"/>
      <c r="EU176" s="29"/>
      <c r="EV176" s="30"/>
      <c r="EW176" s="30"/>
      <c r="EX176" s="30"/>
      <c r="EY176" s="30"/>
      <c r="EZ176" s="30"/>
      <c r="FA176" s="30"/>
      <c r="FB176" s="30"/>
      <c r="FC176" s="30"/>
      <c r="FD176" s="30"/>
      <c r="FE176" s="30"/>
      <c r="FF176" s="30"/>
      <c r="FG176" s="30"/>
      <c r="FH176" s="30"/>
      <c r="FI176" s="30"/>
      <c r="FJ176" s="30"/>
      <c r="FK176" s="30"/>
      <c r="FL176" s="30"/>
    </row>
    <row r="177" spans="1:168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>
        <v>17</v>
      </c>
      <c r="AT177" s="234" t="s">
        <v>1434</v>
      </c>
      <c r="AU177" s="234"/>
      <c r="AV177" s="234"/>
      <c r="AW177" s="234"/>
      <c r="AX177" s="234"/>
      <c r="AY177" s="234"/>
      <c r="AZ177" s="234"/>
      <c r="BA177" s="234"/>
      <c r="BB177" s="234"/>
      <c r="BC177" s="234"/>
      <c r="BD177" s="234"/>
      <c r="BE177" s="234"/>
      <c r="BF177" s="234"/>
      <c r="BG177" s="29"/>
      <c r="BH177" s="233"/>
      <c r="BI177" s="408"/>
      <c r="BJ177" s="408"/>
      <c r="BK177" s="408"/>
      <c r="BL177" s="408"/>
      <c r="BM177" s="408"/>
      <c r="BN177" s="233"/>
      <c r="BO177" s="233"/>
      <c r="BP177" s="233"/>
      <c r="BQ177" s="233"/>
      <c r="BR177" s="233"/>
      <c r="BS177" s="233"/>
      <c r="BT177" s="233"/>
      <c r="BU177" s="233"/>
      <c r="BV177" s="233"/>
      <c r="BW177" s="233"/>
      <c r="BX177" s="233"/>
      <c r="BY177" s="233"/>
      <c r="BZ177" s="233"/>
      <c r="CG177" s="233"/>
      <c r="CH177" s="233"/>
      <c r="CI177" s="233"/>
      <c r="CJ177" s="233"/>
      <c r="CK177" s="233"/>
      <c r="CL177" s="233"/>
      <c r="CM177" s="233"/>
      <c r="CN177" s="233"/>
      <c r="CO177" s="233"/>
      <c r="CP177" s="233"/>
      <c r="CQ177" s="233"/>
      <c r="CR177" s="233"/>
      <c r="CS177" s="233"/>
      <c r="CT177" s="233"/>
      <c r="CU177" s="233"/>
      <c r="CV177" s="233"/>
      <c r="CW177" s="233"/>
      <c r="CX177" s="233"/>
      <c r="CY177" s="233"/>
      <c r="CZ177" s="233"/>
      <c r="DA177" s="233"/>
      <c r="DB177" s="233"/>
      <c r="DC177" s="233"/>
      <c r="DD177" s="233"/>
      <c r="DE177" s="29"/>
      <c r="DF177" s="29"/>
      <c r="DG177" s="29"/>
      <c r="DH177" s="29"/>
      <c r="DI177" s="29"/>
      <c r="DJ177" s="29"/>
      <c r="DK177" s="29"/>
      <c r="DL177" s="29"/>
      <c r="DM177" s="29"/>
      <c r="DN177" s="29"/>
      <c r="DO177" s="29"/>
      <c r="DP177" s="29"/>
      <c r="DQ177" s="29"/>
      <c r="DR177" s="29"/>
      <c r="DS177" s="29"/>
      <c r="DT177" s="29"/>
      <c r="DU177" s="29"/>
      <c r="DV177" s="29"/>
      <c r="DW177" s="29"/>
      <c r="DX177" s="279" t="s">
        <v>1416</v>
      </c>
      <c r="DY177" s="280">
        <v>32010</v>
      </c>
      <c r="DZ177" s="308" t="s">
        <v>1417</v>
      </c>
      <c r="EA177" s="308">
        <v>2</v>
      </c>
      <c r="EB177" s="29"/>
      <c r="EC177" s="409"/>
      <c r="ED177" s="409"/>
      <c r="EE177" s="409"/>
      <c r="EF177" s="409"/>
      <c r="EG177" s="409"/>
      <c r="EH177" s="97"/>
      <c r="EI177" s="97"/>
      <c r="EJ177" s="97"/>
      <c r="EK177" s="97"/>
      <c r="EL177" s="97"/>
      <c r="EM177" s="29"/>
      <c r="EN177" s="29"/>
      <c r="EO177" s="29"/>
      <c r="EP177" s="29"/>
      <c r="EQ177" s="29"/>
      <c r="ER177" s="29"/>
      <c r="ES177" s="29"/>
      <c r="ET177" s="29"/>
      <c r="EU177" s="29"/>
      <c r="EV177" s="30"/>
      <c r="EW177" s="30"/>
      <c r="EX177" s="30"/>
      <c r="EY177" s="30"/>
      <c r="EZ177" s="30"/>
      <c r="FA177" s="30"/>
      <c r="FB177" s="30"/>
      <c r="FC177" s="30"/>
      <c r="FD177" s="30"/>
      <c r="FE177" s="30"/>
      <c r="FF177" s="30"/>
      <c r="FG177" s="30"/>
      <c r="FH177" s="30"/>
      <c r="FI177" s="30"/>
      <c r="FJ177" s="30"/>
      <c r="FK177" s="30"/>
      <c r="FL177" s="30"/>
    </row>
    <row r="178" spans="1:168" ht="15.75" thickBot="1" x14ac:dyDescent="0.3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>
        <v>18</v>
      </c>
      <c r="AT178" s="234" t="s">
        <v>1434</v>
      </c>
      <c r="AU178" s="234"/>
      <c r="AV178" s="234"/>
      <c r="AW178" s="234"/>
      <c r="AX178" s="234"/>
      <c r="AY178" s="234"/>
      <c r="AZ178" s="234"/>
      <c r="BA178" s="234"/>
      <c r="BB178" s="234"/>
      <c r="BC178" s="234"/>
      <c r="BD178" s="234"/>
      <c r="BE178" s="234"/>
      <c r="BF178" s="234"/>
      <c r="BG178" s="29"/>
      <c r="BH178" s="233"/>
      <c r="BI178" s="408"/>
      <c r="BJ178" s="408"/>
      <c r="BK178" s="408"/>
      <c r="BL178" s="408"/>
      <c r="BM178" s="408"/>
      <c r="BN178" s="233"/>
      <c r="BO178" s="233"/>
      <c r="BP178" s="233"/>
      <c r="BQ178" s="233"/>
      <c r="BR178" s="233"/>
      <c r="BS178" s="233"/>
      <c r="BT178" s="233"/>
      <c r="BU178" s="233"/>
      <c r="BV178" s="233"/>
      <c r="BW178" s="233"/>
      <c r="BX178" s="233"/>
      <c r="BY178" s="233"/>
      <c r="BZ178" s="233"/>
      <c r="CG178" s="233"/>
      <c r="CH178" s="233"/>
      <c r="CI178" s="233"/>
      <c r="CJ178" s="233"/>
      <c r="CK178" s="233"/>
      <c r="CL178" s="233"/>
      <c r="CM178" s="233"/>
      <c r="CN178" s="233"/>
      <c r="CO178" s="233"/>
      <c r="CP178" s="233"/>
      <c r="CQ178" s="233"/>
      <c r="CR178" s="233"/>
      <c r="CS178" s="233"/>
      <c r="CT178" s="233"/>
      <c r="CU178" s="233"/>
      <c r="CV178" s="233"/>
      <c r="CW178" s="233"/>
      <c r="CX178" s="233"/>
      <c r="CY178" s="233"/>
      <c r="CZ178" s="233"/>
      <c r="DA178" s="233"/>
      <c r="DB178" s="233"/>
      <c r="DC178" s="233"/>
      <c r="DD178" s="233"/>
      <c r="DE178" s="29"/>
      <c r="DF178" s="29"/>
      <c r="DG178" s="29"/>
      <c r="DH178" s="29"/>
      <c r="DI178" s="29"/>
      <c r="DJ178" s="29"/>
      <c r="DK178" s="29"/>
      <c r="DL178" s="29"/>
      <c r="DM178" s="29"/>
      <c r="DN178" s="29"/>
      <c r="DO178" s="29"/>
      <c r="DP178" s="29"/>
      <c r="DQ178" s="29"/>
      <c r="DR178" s="29"/>
      <c r="DS178" s="29"/>
      <c r="DT178" s="29"/>
      <c r="DU178" s="29"/>
      <c r="DV178" s="29"/>
      <c r="DW178" s="29"/>
      <c r="DX178" s="326" t="s">
        <v>1418</v>
      </c>
      <c r="DY178" s="327">
        <v>50010</v>
      </c>
      <c r="DZ178" s="306" t="s">
        <v>1419</v>
      </c>
      <c r="EA178" s="306">
        <v>3</v>
      </c>
      <c r="EB178" s="29"/>
      <c r="EC178" s="409"/>
      <c r="ED178" s="409"/>
      <c r="EE178" s="409"/>
      <c r="EF178" s="409"/>
      <c r="EG178" s="409"/>
      <c r="EH178" s="97"/>
      <c r="EI178" s="97"/>
      <c r="EJ178" s="97"/>
      <c r="EK178" s="97"/>
      <c r="EL178" s="97"/>
      <c r="EM178" s="29"/>
      <c r="EN178" s="29"/>
      <c r="EO178" s="29"/>
      <c r="EP178" s="29"/>
      <c r="EQ178" s="29"/>
      <c r="ER178" s="29"/>
      <c r="ES178" s="29"/>
      <c r="ET178" s="29"/>
      <c r="EU178" s="29"/>
      <c r="EV178" s="30"/>
      <c r="EW178" s="30"/>
      <c r="EX178" s="30"/>
      <c r="EY178" s="30"/>
      <c r="EZ178" s="30"/>
      <c r="FA178" s="30"/>
      <c r="FB178" s="30"/>
      <c r="FC178" s="30"/>
      <c r="FD178" s="30"/>
      <c r="FE178" s="30"/>
      <c r="FF178" s="30"/>
      <c r="FG178" s="30"/>
      <c r="FH178" s="30"/>
      <c r="FI178" s="30"/>
      <c r="FJ178" s="30"/>
      <c r="FK178" s="30"/>
      <c r="FL178" s="30"/>
    </row>
    <row r="179" spans="1:168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>
        <v>19</v>
      </c>
      <c r="AT179" s="234" t="s">
        <v>1434</v>
      </c>
      <c r="AU179" s="234"/>
      <c r="AV179" s="234"/>
      <c r="AW179" s="234"/>
      <c r="AX179" s="234"/>
      <c r="AY179" s="234"/>
      <c r="AZ179" s="234"/>
      <c r="BA179" s="234"/>
      <c r="BB179" s="234"/>
      <c r="BC179" s="234"/>
      <c r="BD179" s="234"/>
      <c r="BE179" s="234"/>
      <c r="BF179" s="234"/>
      <c r="BG179" s="29"/>
      <c r="BH179" s="233"/>
      <c r="BI179" s="408"/>
      <c r="BJ179" s="408"/>
      <c r="BK179" s="408"/>
      <c r="BL179" s="408"/>
      <c r="BM179" s="408"/>
      <c r="BN179" s="233"/>
      <c r="BO179" s="233"/>
      <c r="BP179" s="233"/>
      <c r="BQ179" s="233"/>
      <c r="BR179" s="233"/>
      <c r="BS179" s="233"/>
      <c r="BT179" s="233"/>
      <c r="BU179" s="233"/>
      <c r="BV179" s="233"/>
      <c r="BW179" s="233"/>
      <c r="BX179" s="233"/>
      <c r="BY179" s="233"/>
      <c r="BZ179" s="233"/>
      <c r="CG179" s="233"/>
      <c r="CH179" s="233"/>
      <c r="CI179" s="233"/>
      <c r="CJ179" s="233"/>
      <c r="CK179" s="233"/>
      <c r="CL179" s="233"/>
      <c r="CM179" s="233"/>
      <c r="CN179" s="233"/>
      <c r="CO179" s="233"/>
      <c r="CP179" s="233"/>
      <c r="CQ179" s="233"/>
      <c r="CR179" s="233"/>
      <c r="CS179" s="233"/>
      <c r="CT179" s="233"/>
      <c r="CU179" s="233"/>
      <c r="CV179" s="233"/>
      <c r="CW179" s="233"/>
      <c r="CX179" s="233"/>
      <c r="CY179" s="233"/>
      <c r="CZ179" s="233"/>
      <c r="DA179" s="233"/>
      <c r="DB179" s="233"/>
      <c r="DC179" s="233"/>
      <c r="DD179" s="233"/>
      <c r="DE179" s="29"/>
      <c r="DF179" s="29"/>
      <c r="DG179" s="29"/>
      <c r="DH179" s="29"/>
      <c r="DI179" s="29"/>
      <c r="DJ179" s="29"/>
      <c r="DK179" s="29"/>
      <c r="DL179" s="29"/>
      <c r="DM179" s="29"/>
      <c r="DN179" s="29"/>
      <c r="DO179" s="29"/>
      <c r="DP179" s="29"/>
      <c r="DQ179" s="29"/>
      <c r="DR179" s="29"/>
      <c r="DS179" s="29"/>
      <c r="DT179" s="29"/>
      <c r="DU179" s="29"/>
      <c r="DV179" s="29"/>
      <c r="DW179" s="29"/>
      <c r="DX179" s="29"/>
      <c r="DY179" s="29"/>
      <c r="DZ179" s="29"/>
      <c r="EA179" s="29"/>
      <c r="EB179" s="29"/>
      <c r="EC179" s="29"/>
      <c r="ED179" s="409"/>
      <c r="EE179" s="409"/>
      <c r="EF179" s="409"/>
      <c r="EG179" s="409"/>
      <c r="EH179" s="97"/>
      <c r="EI179" s="97"/>
      <c r="EJ179" s="97"/>
      <c r="EK179" s="97"/>
      <c r="EL179" s="97"/>
      <c r="EM179" s="29"/>
      <c r="EN179" s="29"/>
      <c r="EO179" s="29"/>
      <c r="EP179" s="29"/>
      <c r="EQ179" s="29"/>
      <c r="ER179" s="29"/>
      <c r="ES179" s="29"/>
      <c r="ET179" s="29"/>
      <c r="EU179" s="29"/>
      <c r="EV179" s="30"/>
      <c r="EW179" s="30"/>
      <c r="EX179" s="30"/>
      <c r="EY179" s="30"/>
      <c r="EZ179" s="30"/>
      <c r="FA179" s="30"/>
      <c r="FB179" s="30"/>
      <c r="FC179" s="30"/>
      <c r="FD179" s="30"/>
      <c r="FE179" s="30"/>
      <c r="FF179" s="30"/>
      <c r="FG179" s="30"/>
      <c r="FH179" s="30"/>
      <c r="FI179" s="30"/>
      <c r="FJ179" s="30"/>
      <c r="FK179" s="30"/>
      <c r="FL179" s="30"/>
    </row>
    <row r="180" spans="1:168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>
        <v>20</v>
      </c>
      <c r="AT180" s="234" t="s">
        <v>1434</v>
      </c>
      <c r="AU180" s="234"/>
      <c r="AV180" s="234"/>
      <c r="AW180" s="234"/>
      <c r="AX180" s="234"/>
      <c r="AY180" s="234"/>
      <c r="AZ180" s="234"/>
      <c r="BA180" s="234"/>
      <c r="BB180" s="234"/>
      <c r="BC180" s="234"/>
      <c r="BD180" s="234"/>
      <c r="BE180" s="234"/>
      <c r="BF180" s="234"/>
      <c r="BG180" s="29"/>
      <c r="BH180" s="233"/>
      <c r="BI180" s="408"/>
      <c r="BJ180" s="408"/>
      <c r="BK180" s="408"/>
      <c r="BL180" s="408"/>
      <c r="BM180" s="408"/>
      <c r="BN180" s="233"/>
      <c r="BO180" s="233"/>
      <c r="BP180" s="233"/>
      <c r="BQ180" s="233"/>
      <c r="BR180" s="233"/>
      <c r="BS180" s="233"/>
      <c r="BT180" s="233"/>
      <c r="BU180" s="233"/>
      <c r="BV180" s="233"/>
      <c r="BW180" s="233"/>
      <c r="BX180" s="233"/>
      <c r="BY180" s="233"/>
      <c r="BZ180" s="233"/>
      <c r="CG180" s="233"/>
      <c r="CH180" s="233"/>
      <c r="CI180" s="233"/>
      <c r="CJ180" s="233"/>
      <c r="CK180" s="233"/>
      <c r="CL180" s="233"/>
      <c r="CM180" s="233"/>
      <c r="CN180" s="233"/>
      <c r="CO180" s="233"/>
      <c r="CP180" s="233"/>
      <c r="CQ180" s="233"/>
      <c r="CR180" s="233"/>
      <c r="CS180" s="233"/>
      <c r="CT180" s="233"/>
      <c r="CU180" s="233"/>
      <c r="CV180" s="233"/>
      <c r="CW180" s="233"/>
      <c r="CX180" s="233"/>
      <c r="CY180" s="233"/>
      <c r="CZ180" s="233"/>
      <c r="DA180" s="233"/>
      <c r="DB180" s="233"/>
      <c r="DC180" s="233"/>
      <c r="DD180" s="233"/>
      <c r="DE180" s="29"/>
      <c r="DF180" s="29"/>
      <c r="DG180" s="29"/>
      <c r="DH180" s="29"/>
      <c r="DI180" s="29"/>
      <c r="DJ180" s="29"/>
      <c r="DK180" s="29"/>
      <c r="DL180" s="29"/>
      <c r="DM180" s="29"/>
      <c r="DN180" s="29"/>
      <c r="DO180" s="29"/>
      <c r="DP180" s="29"/>
      <c r="DQ180" s="29"/>
      <c r="DR180" s="29"/>
      <c r="DS180" s="29"/>
      <c r="DT180" s="29"/>
      <c r="DU180" s="29"/>
      <c r="DV180" s="29"/>
      <c r="DW180" s="29"/>
      <c r="DX180" s="29"/>
      <c r="DY180" s="29"/>
      <c r="DZ180" s="29"/>
      <c r="EA180" s="29"/>
      <c r="EB180" s="29"/>
      <c r="EC180" s="29"/>
      <c r="ED180" s="409"/>
      <c r="EE180" s="409"/>
      <c r="EF180" s="409"/>
      <c r="EG180" s="409"/>
      <c r="EH180" s="97"/>
      <c r="EI180" s="97"/>
      <c r="EJ180" s="97"/>
      <c r="EK180" s="97"/>
      <c r="EL180" s="97"/>
      <c r="EM180" s="29"/>
      <c r="EN180" s="29"/>
      <c r="EO180" s="29"/>
      <c r="EP180" s="29"/>
      <c r="EQ180" s="29"/>
      <c r="ER180" s="29"/>
      <c r="ES180" s="29"/>
      <c r="ET180" s="29"/>
      <c r="EU180" s="29"/>
      <c r="EV180" s="30"/>
      <c r="EW180" s="30"/>
      <c r="EX180" s="30"/>
      <c r="EY180" s="30"/>
      <c r="EZ180" s="30"/>
      <c r="FA180" s="30"/>
      <c r="FB180" s="30"/>
      <c r="FC180" s="30"/>
      <c r="FD180" s="30"/>
      <c r="FE180" s="30"/>
      <c r="FF180" s="30"/>
      <c r="FG180" s="30"/>
      <c r="FH180" s="30"/>
      <c r="FI180" s="30"/>
      <c r="FJ180" s="30"/>
      <c r="FK180" s="30"/>
      <c r="FL180" s="30"/>
    </row>
    <row r="181" spans="1:168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>
        <v>21</v>
      </c>
      <c r="AT181" s="234" t="s">
        <v>1434</v>
      </c>
      <c r="AU181" s="234"/>
      <c r="AV181" s="234"/>
      <c r="AW181" s="234"/>
      <c r="AX181" s="234"/>
      <c r="AY181" s="234"/>
      <c r="AZ181" s="234"/>
      <c r="BA181" s="234"/>
      <c r="BB181" s="234"/>
      <c r="BC181" s="234"/>
      <c r="BD181" s="234"/>
      <c r="BE181" s="234"/>
      <c r="BF181" s="234"/>
      <c r="BG181" s="29"/>
      <c r="BH181" s="233"/>
      <c r="BI181" s="408"/>
      <c r="BJ181" s="408"/>
      <c r="BK181" s="408"/>
      <c r="BL181" s="408"/>
      <c r="BM181" s="408"/>
      <c r="BN181" s="233"/>
      <c r="BO181" s="233"/>
      <c r="BP181" s="233"/>
      <c r="BQ181" s="233"/>
      <c r="BR181" s="233"/>
      <c r="BS181" s="233"/>
      <c r="BT181" s="233"/>
      <c r="BU181" s="233"/>
      <c r="BV181" s="233"/>
      <c r="BW181" s="233"/>
      <c r="BX181" s="233"/>
      <c r="BY181" s="233"/>
      <c r="BZ181" s="233"/>
      <c r="CG181" s="233"/>
      <c r="CH181" s="233"/>
      <c r="CI181" s="233"/>
      <c r="CJ181" s="233"/>
      <c r="CK181" s="233"/>
      <c r="CL181" s="233"/>
      <c r="CM181" s="233"/>
      <c r="CN181" s="233"/>
      <c r="CO181" s="233"/>
      <c r="CP181" s="233"/>
      <c r="CQ181" s="233"/>
      <c r="CR181" s="233"/>
      <c r="CS181" s="233"/>
      <c r="CT181" s="233"/>
      <c r="CU181" s="233"/>
      <c r="CV181" s="233"/>
      <c r="CW181" s="233"/>
      <c r="CX181" s="233"/>
      <c r="CY181" s="233"/>
      <c r="CZ181" s="233"/>
      <c r="DA181" s="233"/>
      <c r="DB181" s="233"/>
      <c r="DC181" s="233"/>
      <c r="DD181" s="233"/>
      <c r="DE181" s="29"/>
      <c r="DF181" s="29"/>
      <c r="DG181" s="29"/>
      <c r="DH181" s="29"/>
      <c r="DI181" s="29"/>
      <c r="DJ181" s="29"/>
      <c r="DK181" s="29"/>
      <c r="DL181" s="29"/>
      <c r="DM181" s="29"/>
      <c r="DN181" s="29"/>
      <c r="DO181" s="29"/>
      <c r="DP181" s="29"/>
      <c r="DQ181" s="29"/>
      <c r="DR181" s="29"/>
      <c r="DS181" s="29"/>
      <c r="DT181" s="29"/>
      <c r="DU181" s="29"/>
      <c r="DV181" s="29"/>
      <c r="DW181" s="29"/>
      <c r="DX181" s="29"/>
      <c r="DY181" s="29"/>
      <c r="DZ181" s="29"/>
      <c r="EA181" s="29"/>
      <c r="EB181" s="29"/>
      <c r="EC181" s="29"/>
      <c r="ED181" s="409"/>
      <c r="EE181" s="409"/>
      <c r="EF181" s="409"/>
      <c r="EG181" s="409"/>
      <c r="EH181" s="97"/>
      <c r="EI181" s="97"/>
      <c r="EJ181" s="97"/>
      <c r="EK181" s="97"/>
      <c r="EL181" s="97"/>
      <c r="EM181" s="29"/>
      <c r="EN181" s="29"/>
      <c r="EO181" s="29"/>
      <c r="EP181" s="29"/>
      <c r="EQ181" s="29"/>
      <c r="ER181" s="29"/>
      <c r="ES181" s="29"/>
      <c r="ET181" s="29"/>
      <c r="EU181" s="29"/>
      <c r="EV181" s="30"/>
      <c r="EW181" s="30"/>
      <c r="EX181" s="30"/>
      <c r="EY181" s="30"/>
      <c r="EZ181" s="30"/>
      <c r="FA181" s="30"/>
      <c r="FB181" s="30"/>
      <c r="FC181" s="30"/>
      <c r="FD181" s="30"/>
      <c r="FE181" s="30"/>
      <c r="FF181" s="30"/>
      <c r="FG181" s="30"/>
      <c r="FH181" s="30"/>
      <c r="FI181" s="30"/>
      <c r="FJ181" s="30"/>
      <c r="FK181" s="30"/>
      <c r="FL181" s="30"/>
    </row>
    <row r="182" spans="1:168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>
        <v>22</v>
      </c>
      <c r="AT182" s="234" t="s">
        <v>1434</v>
      </c>
      <c r="AU182" s="234"/>
      <c r="AV182" s="234"/>
      <c r="AW182" s="234"/>
      <c r="AX182" s="234"/>
      <c r="AY182" s="234"/>
      <c r="AZ182" s="234"/>
      <c r="BA182" s="234"/>
      <c r="BB182" s="234"/>
      <c r="BC182" s="234"/>
      <c r="BD182" s="234"/>
      <c r="BE182" s="234"/>
      <c r="BF182" s="234"/>
      <c r="BG182" s="29"/>
      <c r="BH182" s="233"/>
      <c r="BI182" s="408"/>
      <c r="BJ182" s="408"/>
      <c r="BK182" s="408"/>
      <c r="BL182" s="408"/>
      <c r="BM182" s="408"/>
      <c r="BN182" s="233"/>
      <c r="BO182" s="233"/>
      <c r="BP182" s="233"/>
      <c r="BQ182" s="233"/>
      <c r="BR182" s="233"/>
      <c r="BS182" s="233"/>
      <c r="BT182" s="233"/>
      <c r="BU182" s="233"/>
      <c r="BV182" s="233"/>
      <c r="BW182" s="233"/>
      <c r="BX182" s="233"/>
      <c r="BY182" s="233"/>
      <c r="BZ182" s="233"/>
      <c r="CG182" s="233"/>
      <c r="CH182" s="233"/>
      <c r="CI182" s="233"/>
      <c r="CJ182" s="233"/>
      <c r="CK182" s="233"/>
      <c r="CL182" s="233"/>
      <c r="CM182" s="233"/>
      <c r="CN182" s="233"/>
      <c r="CO182" s="233"/>
      <c r="CP182" s="233"/>
      <c r="CQ182" s="233"/>
      <c r="CR182" s="233"/>
      <c r="CS182" s="233"/>
      <c r="CT182" s="233"/>
      <c r="CU182" s="233"/>
      <c r="CV182" s="233"/>
      <c r="CW182" s="233"/>
      <c r="CX182" s="233"/>
      <c r="CY182" s="233"/>
      <c r="CZ182" s="233"/>
      <c r="DA182" s="233"/>
      <c r="DB182" s="233"/>
      <c r="DC182" s="233"/>
      <c r="DD182" s="233"/>
      <c r="DE182" s="29"/>
      <c r="DF182" s="29"/>
      <c r="DG182" s="29"/>
      <c r="DH182" s="29"/>
      <c r="DI182" s="29"/>
      <c r="DJ182" s="29"/>
      <c r="DK182" s="29"/>
      <c r="DL182" s="29"/>
      <c r="DM182" s="29"/>
      <c r="DN182" s="29"/>
      <c r="DO182" s="29"/>
      <c r="DP182" s="29"/>
      <c r="DQ182" s="29"/>
      <c r="DR182" s="29"/>
      <c r="DS182" s="29"/>
      <c r="DT182" s="29"/>
      <c r="DU182" s="29"/>
      <c r="DV182" s="29"/>
      <c r="DW182" s="29"/>
      <c r="DX182" s="29"/>
      <c r="DY182" s="29"/>
      <c r="DZ182" s="29"/>
      <c r="EA182" s="29"/>
      <c r="EB182" s="29"/>
      <c r="EC182" s="29"/>
      <c r="ED182" s="409"/>
      <c r="EE182" s="409"/>
      <c r="EF182" s="409"/>
      <c r="EG182" s="409"/>
      <c r="EH182" s="97"/>
      <c r="EI182" s="97"/>
      <c r="EJ182" s="97"/>
      <c r="EK182" s="97"/>
      <c r="EL182" s="97"/>
      <c r="EM182" s="29"/>
      <c r="EN182" s="29"/>
      <c r="EO182" s="29"/>
      <c r="EP182" s="29"/>
      <c r="EQ182" s="29"/>
      <c r="ER182" s="29"/>
      <c r="ES182" s="29"/>
      <c r="ET182" s="29"/>
      <c r="EU182" s="29"/>
      <c r="EV182" s="30"/>
      <c r="EW182" s="30"/>
      <c r="EX182" s="30"/>
      <c r="EY182" s="30"/>
      <c r="EZ182" s="30"/>
      <c r="FA182" s="30"/>
      <c r="FB182" s="30"/>
      <c r="FC182" s="30"/>
      <c r="FD182" s="30"/>
      <c r="FE182" s="30"/>
      <c r="FF182" s="30"/>
      <c r="FG182" s="30"/>
      <c r="FH182" s="30"/>
      <c r="FI182" s="30"/>
      <c r="FJ182" s="30"/>
      <c r="FK182" s="30"/>
      <c r="FL182" s="30"/>
    </row>
    <row r="183" spans="1:168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>
        <v>23</v>
      </c>
      <c r="AT183" s="234" t="s">
        <v>1434</v>
      </c>
      <c r="AU183" s="234"/>
      <c r="AV183" s="234"/>
      <c r="AW183" s="234"/>
      <c r="AX183" s="234"/>
      <c r="AY183" s="234"/>
      <c r="AZ183" s="234"/>
      <c r="BA183" s="234"/>
      <c r="BB183" s="234"/>
      <c r="BC183" s="234"/>
      <c r="BD183" s="234"/>
      <c r="BE183" s="234"/>
      <c r="BF183" s="234"/>
      <c r="BG183" s="29"/>
      <c r="BH183" s="233"/>
      <c r="BI183" s="408"/>
      <c r="BJ183" s="408"/>
      <c r="BK183" s="408"/>
      <c r="BL183" s="408"/>
      <c r="BM183" s="408"/>
      <c r="BN183" s="233"/>
      <c r="BO183" s="233"/>
      <c r="BP183" s="233"/>
      <c r="BQ183" s="233"/>
      <c r="BR183" s="233"/>
      <c r="BS183" s="233"/>
      <c r="BT183" s="233"/>
      <c r="BU183" s="233"/>
      <c r="BV183" s="233"/>
      <c r="BW183" s="233"/>
      <c r="BX183" s="233"/>
      <c r="BY183" s="233"/>
      <c r="BZ183" s="233"/>
      <c r="CG183" s="233"/>
      <c r="CH183" s="233"/>
      <c r="CI183" s="233"/>
      <c r="CJ183" s="233"/>
      <c r="CK183" s="233"/>
      <c r="CL183" s="233"/>
      <c r="CM183" s="233"/>
      <c r="CN183" s="233"/>
      <c r="CO183" s="233"/>
      <c r="CP183" s="233"/>
      <c r="CQ183" s="233"/>
      <c r="CR183" s="233"/>
      <c r="CS183" s="233"/>
      <c r="CT183" s="233"/>
      <c r="CU183" s="233"/>
      <c r="CV183" s="233"/>
      <c r="CW183" s="233"/>
      <c r="CX183" s="233"/>
      <c r="CY183" s="233"/>
      <c r="CZ183" s="233"/>
      <c r="DA183" s="233"/>
      <c r="DB183" s="233"/>
      <c r="DC183" s="233"/>
      <c r="DD183" s="233"/>
      <c r="DE183" s="29"/>
      <c r="DF183" s="29"/>
      <c r="DG183" s="29"/>
      <c r="DH183" s="29"/>
      <c r="DI183" s="29"/>
      <c r="DJ183" s="29"/>
      <c r="DK183" s="29"/>
      <c r="DL183" s="29"/>
      <c r="DM183" s="29"/>
      <c r="DN183" s="29"/>
      <c r="DO183" s="29"/>
      <c r="DP183" s="29"/>
      <c r="DQ183" s="29"/>
      <c r="DR183" s="29"/>
      <c r="DS183" s="29"/>
      <c r="DT183" s="29"/>
      <c r="DU183" s="29"/>
      <c r="DV183" s="29"/>
      <c r="DW183" s="29"/>
      <c r="DX183" s="29"/>
      <c r="DY183" s="29"/>
      <c r="DZ183" s="29"/>
      <c r="EA183" s="29"/>
      <c r="EB183" s="29"/>
      <c r="EC183" s="29"/>
      <c r="ED183" s="409"/>
      <c r="EE183" s="409"/>
      <c r="EF183" s="409"/>
      <c r="EG183" s="409"/>
      <c r="EH183" s="97"/>
      <c r="EI183" s="97"/>
      <c r="EJ183" s="97"/>
      <c r="EK183" s="97"/>
      <c r="EL183" s="97"/>
      <c r="EM183" s="29"/>
      <c r="EN183" s="29"/>
      <c r="EO183" s="29"/>
      <c r="EP183" s="29"/>
      <c r="EQ183" s="29"/>
      <c r="ER183" s="29"/>
      <c r="ES183" s="29"/>
      <c r="ET183" s="29"/>
      <c r="EU183" s="29"/>
      <c r="EV183" s="30"/>
      <c r="EW183" s="30"/>
      <c r="EX183" s="30"/>
      <c r="EY183" s="30"/>
      <c r="EZ183" s="30"/>
      <c r="FA183" s="30"/>
      <c r="FB183" s="30"/>
      <c r="FC183" s="30"/>
      <c r="FD183" s="30"/>
      <c r="FE183" s="30"/>
      <c r="FF183" s="30"/>
      <c r="FG183" s="30"/>
      <c r="FH183" s="30"/>
      <c r="FI183" s="30"/>
      <c r="FJ183" s="30"/>
      <c r="FK183" s="30"/>
      <c r="FL183" s="30"/>
    </row>
    <row r="184" spans="1:168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 t="s">
        <v>1562</v>
      </c>
      <c r="AT184" s="383" t="str">
        <f>IF($C$42=$AH$6,$G$42," ")</f>
        <v xml:space="preserve"> </v>
      </c>
      <c r="AU184" s="371">
        <f t="shared" ref="AU184:BF184" si="121">IF($AT$184=$AT$161,AU161,IF($AT$184=$AT$162,AU162,IF($AT$184=$AT$163,AU163,IF($AT$184=$AT$164,AU164,IF($AT$184=$AT$165,AU165,IF($AT$184=$AT$166,AU166,IF($AT$184=$AT$167,AU167,IF($AT$184=$AT$168,AU168,IF($AT$184=$AT$169,AU169,IF($AT$184=$AT$170,AU170,IF($AT$184=$AT$171,AU171,IF($AT$184=$AT$172,AU172,IF($AT$184=$AT$173,AU173,IF($AT$184=$AT$174,AU174,IF($AT$184=$AT$175,AU175,0)))))))))))))))</f>
        <v>0</v>
      </c>
      <c r="AV184" s="381">
        <f t="shared" si="121"/>
        <v>0</v>
      </c>
      <c r="AW184" s="381">
        <f t="shared" si="121"/>
        <v>0</v>
      </c>
      <c r="AX184" s="381">
        <f t="shared" si="121"/>
        <v>0</v>
      </c>
      <c r="AY184" s="381">
        <f t="shared" si="121"/>
        <v>0</v>
      </c>
      <c r="AZ184" s="381">
        <f t="shared" si="121"/>
        <v>0</v>
      </c>
      <c r="BA184" s="381">
        <f t="shared" si="121"/>
        <v>0</v>
      </c>
      <c r="BB184" s="381">
        <f t="shared" si="121"/>
        <v>0</v>
      </c>
      <c r="BC184" s="381">
        <f t="shared" si="121"/>
        <v>0</v>
      </c>
      <c r="BD184" s="381">
        <f t="shared" si="121"/>
        <v>0</v>
      </c>
      <c r="BE184" s="381">
        <f t="shared" si="121"/>
        <v>0</v>
      </c>
      <c r="BF184" s="381">
        <f t="shared" si="121"/>
        <v>0</v>
      </c>
      <c r="BG184" s="29"/>
      <c r="BH184" s="233"/>
      <c r="BI184" s="408"/>
      <c r="BJ184" s="408"/>
      <c r="BK184" s="408"/>
      <c r="BL184" s="408"/>
      <c r="BM184" s="408"/>
      <c r="BN184" s="233"/>
      <c r="BO184" s="233"/>
      <c r="BP184" s="233"/>
      <c r="BQ184" s="233"/>
      <c r="BR184" s="233"/>
      <c r="BS184" s="233"/>
      <c r="BT184" s="233"/>
      <c r="BU184" s="233"/>
      <c r="BV184" s="233"/>
      <c r="BW184" s="233"/>
      <c r="BX184" s="233"/>
      <c r="BY184" s="233"/>
      <c r="BZ184" s="233"/>
      <c r="CG184" s="233"/>
      <c r="CH184" s="233"/>
      <c r="CI184" s="233"/>
      <c r="CJ184" s="233"/>
      <c r="CK184" s="233"/>
      <c r="CL184" s="233"/>
      <c r="CM184" s="233"/>
      <c r="CN184" s="233"/>
      <c r="CO184" s="233"/>
      <c r="CP184" s="233"/>
      <c r="CQ184" s="233"/>
      <c r="CR184" s="233"/>
      <c r="CS184" s="233"/>
      <c r="CT184" s="233"/>
      <c r="CU184" s="233"/>
      <c r="CV184" s="233"/>
      <c r="CW184" s="233"/>
      <c r="CX184" s="233"/>
      <c r="CY184" s="233"/>
      <c r="CZ184" s="233"/>
      <c r="DA184" s="233"/>
      <c r="DB184" s="233"/>
      <c r="DC184" s="233"/>
      <c r="DD184" s="233"/>
      <c r="DE184" s="29"/>
      <c r="DF184" s="29"/>
      <c r="DG184" s="29"/>
      <c r="DH184" s="29"/>
      <c r="DI184" s="29"/>
      <c r="DJ184" s="29"/>
      <c r="DK184" s="29"/>
      <c r="DL184" s="29"/>
      <c r="DM184" s="29"/>
      <c r="DN184" s="29"/>
      <c r="DO184" s="29"/>
      <c r="DP184" s="29"/>
      <c r="DQ184" s="29"/>
      <c r="DR184" s="29"/>
      <c r="DS184" s="29"/>
      <c r="DT184" s="29"/>
      <c r="DU184" s="29"/>
      <c r="DV184" s="29"/>
      <c r="DW184" s="29"/>
      <c r="DX184" s="29"/>
      <c r="DY184" s="29"/>
      <c r="DZ184" s="29"/>
      <c r="EA184" s="29"/>
      <c r="EB184" s="29"/>
      <c r="EC184" s="29"/>
      <c r="ED184" s="409"/>
      <c r="EE184" s="409"/>
      <c r="EF184" s="409"/>
      <c r="EG184" s="409"/>
      <c r="EH184" s="97"/>
      <c r="EI184" s="97"/>
      <c r="EJ184" s="97"/>
      <c r="EK184" s="97"/>
      <c r="EL184" s="97"/>
      <c r="EM184" s="29"/>
      <c r="EN184" s="29"/>
      <c r="EO184" s="29"/>
      <c r="EP184" s="29"/>
      <c r="EQ184" s="29"/>
      <c r="ER184" s="29"/>
      <c r="ES184" s="29"/>
      <c r="ET184" s="29"/>
      <c r="EU184" s="29"/>
      <c r="EV184" s="30"/>
      <c r="EW184" s="30"/>
      <c r="EX184" s="30"/>
      <c r="EY184" s="30"/>
      <c r="EZ184" s="30"/>
      <c r="FA184" s="30"/>
      <c r="FB184" s="30"/>
      <c r="FC184" s="30"/>
      <c r="FD184" s="30"/>
      <c r="FE184" s="30"/>
      <c r="FF184" s="30"/>
      <c r="FG184" s="30"/>
      <c r="FH184" s="30"/>
      <c r="FI184" s="30"/>
      <c r="FJ184" s="30"/>
      <c r="FK184" s="30"/>
      <c r="FL184" s="30"/>
    </row>
    <row r="185" spans="1:168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 t="s">
        <v>1563</v>
      </c>
      <c r="AT185" s="383" t="str">
        <f>IF($C$54=$AH$6,$G$54," ")</f>
        <v xml:space="preserve"> </v>
      </c>
      <c r="AU185" s="383">
        <f>IF($AT$185=$AT$161,AU161,IF($AT$185=$AT$162,AU162,IF($AT$185=$AT$163,AU163,IF($AT$185=$AT$164,AU164,IF($AT$185=$AT$165,AU165,IF($AT$185=$AT$166,AU166,IF($AT$185=$AT$167,AU167,IF($AT$185=$AT$168,AU168,IF($AT$185=$AT$169,AU169,IF($AT$185=$AT$170,AU170,IF($AT$185=$AT$171,AU171,IF($AT$185=$AT$172,AU172,IF($AT$185=$AT$173,AU173,IF($AT$185=$AT$174,AU174,IF($AT$185=$AT$175,AU175,0)))))))))))))))</f>
        <v>0</v>
      </c>
      <c r="AV185" s="383">
        <f t="shared" ref="AV185:BF185" si="122">IF($AT$185=$AT$161,AV161,IF($AT$185=$AT$162,AV162,IF($AT$185=$AT$163,AV163,IF($AT$185=$AT$164,AV164,IF($AT$185=$AT$165,AV165,IF($AT$185=$AT$166,AV166,IF($AT$185=$AT$167,AV167,IF($AT$185=$AT$168,AV168,IF($AT$185=$AT$169,AV169,IF($AT$185=$AT$170,AV170,IF($AT$185=$AT$171,AV171,IF($AT$185=$AT$172,AV172,IF($AT$185=$AT$173,AV173,IF($AT$185=$AT$174,AV174,IF($AT$185=$AT$175,AV175,0)))))))))))))))</f>
        <v>0</v>
      </c>
      <c r="AW185" s="383">
        <f t="shared" si="122"/>
        <v>0</v>
      </c>
      <c r="AX185" s="383">
        <f t="shared" si="122"/>
        <v>0</v>
      </c>
      <c r="AY185" s="383">
        <f t="shared" si="122"/>
        <v>0</v>
      </c>
      <c r="AZ185" s="383">
        <f t="shared" si="122"/>
        <v>0</v>
      </c>
      <c r="BA185" s="383">
        <f t="shared" si="122"/>
        <v>0</v>
      </c>
      <c r="BB185" s="383">
        <f t="shared" si="122"/>
        <v>0</v>
      </c>
      <c r="BC185" s="383">
        <f t="shared" si="122"/>
        <v>0</v>
      </c>
      <c r="BD185" s="383">
        <f t="shared" si="122"/>
        <v>0</v>
      </c>
      <c r="BE185" s="383">
        <f t="shared" si="122"/>
        <v>0</v>
      </c>
      <c r="BF185" s="383">
        <f t="shared" si="122"/>
        <v>0</v>
      </c>
      <c r="BG185" s="29"/>
      <c r="BH185" s="233"/>
      <c r="BI185" s="408"/>
      <c r="BJ185" s="408"/>
      <c r="BK185" s="408"/>
      <c r="BL185" s="408"/>
      <c r="BM185" s="408"/>
      <c r="BN185" s="233"/>
      <c r="BO185" s="233"/>
      <c r="BP185" s="233"/>
      <c r="BQ185" s="233"/>
      <c r="BR185" s="233"/>
      <c r="BS185" s="233"/>
      <c r="BT185" s="233"/>
      <c r="BU185" s="233"/>
      <c r="BV185" s="233"/>
      <c r="BW185" s="233"/>
      <c r="BX185" s="233"/>
      <c r="BY185" s="233"/>
      <c r="BZ185" s="233"/>
      <c r="CG185" s="233"/>
      <c r="CH185" s="233"/>
      <c r="CI185" s="233"/>
      <c r="CJ185" s="233"/>
      <c r="CK185" s="233"/>
      <c r="CL185" s="233"/>
      <c r="CM185" s="233"/>
      <c r="CN185" s="233"/>
      <c r="CO185" s="233"/>
      <c r="CP185" s="233"/>
      <c r="CQ185" s="233"/>
      <c r="CR185" s="233"/>
      <c r="CS185" s="233"/>
      <c r="CT185" s="233"/>
      <c r="CU185" s="233"/>
      <c r="CV185" s="233"/>
      <c r="CW185" s="233"/>
      <c r="CX185" s="233"/>
      <c r="CY185" s="233"/>
      <c r="CZ185" s="233"/>
      <c r="DA185" s="233"/>
      <c r="DB185" s="233"/>
      <c r="DC185" s="233"/>
      <c r="DD185" s="233"/>
      <c r="DE185" s="29"/>
      <c r="DF185" s="29"/>
      <c r="DG185" s="29"/>
      <c r="DH185" s="29"/>
      <c r="DI185" s="29"/>
      <c r="DJ185" s="29"/>
      <c r="DK185" s="29"/>
      <c r="DL185" s="29"/>
      <c r="DM185" s="29"/>
      <c r="DN185" s="29"/>
      <c r="DO185" s="29"/>
      <c r="DP185" s="29"/>
      <c r="DQ185" s="29"/>
      <c r="DR185" s="29"/>
      <c r="DS185" s="29"/>
      <c r="DT185" s="29"/>
      <c r="DU185" s="29"/>
      <c r="DV185" s="29"/>
      <c r="DW185" s="29"/>
      <c r="DX185" s="29"/>
      <c r="DY185" s="29"/>
      <c r="DZ185" s="29"/>
      <c r="EA185" s="29"/>
      <c r="EB185" s="29"/>
      <c r="EC185" s="29"/>
      <c r="ED185" s="409"/>
      <c r="EE185" s="409"/>
      <c r="EF185" s="409"/>
      <c r="EG185" s="409"/>
      <c r="EH185" s="97"/>
      <c r="EI185" s="97"/>
      <c r="EJ185" s="97"/>
      <c r="EK185" s="97"/>
      <c r="EL185" s="97"/>
      <c r="EM185" s="29"/>
      <c r="EN185" s="29"/>
      <c r="EO185" s="29"/>
      <c r="EP185" s="29"/>
      <c r="EQ185" s="29"/>
      <c r="ER185" s="29"/>
      <c r="ES185" s="29"/>
      <c r="ET185" s="29"/>
      <c r="EU185" s="29"/>
      <c r="EV185" s="30"/>
      <c r="EW185" s="30"/>
      <c r="EX185" s="30"/>
      <c r="EY185" s="30"/>
      <c r="EZ185" s="30"/>
      <c r="FA185" s="30"/>
      <c r="FB185" s="30"/>
      <c r="FC185" s="30"/>
      <c r="FD185" s="30"/>
      <c r="FE185" s="30"/>
      <c r="FF185" s="30"/>
      <c r="FG185" s="30"/>
      <c r="FH185" s="30"/>
      <c r="FI185" s="30"/>
      <c r="FJ185" s="30"/>
      <c r="FK185" s="30"/>
      <c r="FL185" s="30"/>
    </row>
    <row r="186" spans="1:168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 t="s">
        <v>1564</v>
      </c>
      <c r="AT186" s="383" t="str">
        <f>IF($C$66=$AH$6,$G$66," ")</f>
        <v xml:space="preserve"> </v>
      </c>
      <c r="AU186" s="383">
        <f>IF($AT$186=$AT$161,AU161,IF($AT$186=$AT$162,AU162,IF($AT$186=$AT$163,AU163,IF($AT$186=$AT$164,AU164,IF($AT$186=$AT$165,AU165,IF($AT$186=$AT$166,AU166,IF($AT$186=$AT$167,AU167,IF($AT$186=$AT$168,AU168,IF($AT$186=$AT$169,AU169,IF($AT$186=$AT$170,AU170,IF($AT$186=$AT$171,AU171,IF($AT$186=$AT$172,AU172,IF($AT$186=$AT$173,AU173,IF($AT$186=$AT$174,AU174,IF($AT$186=$AT$175,AU175,0)))))))))))))))</f>
        <v>0</v>
      </c>
      <c r="AV186" s="383">
        <f t="shared" ref="AV186:BF186" si="123">IF($AT$186=$AT$161,AV161,IF($AT$186=$AT$162,AV162,IF($AT$186=$AT$163,AV163,IF($AT$186=$AT$164,AV164,IF($AT$186=$AT$165,AV165,IF($AT$186=$AT$166,AV166,IF($AT$186=$AT$167,AV167,IF($AT$186=$AT$168,AV168,IF($AT$186=$AT$169,AV169,IF($AT$186=$AT$170,AV170,IF($AT$186=$AT$171,AV171,IF($AT$186=$AT$172,AV172,IF($AT$186=$AT$173,AV173,IF($AT$186=$AT$174,AV174,IF($AT$186=$AT$175,AV175,0)))))))))))))))</f>
        <v>0</v>
      </c>
      <c r="AW186" s="383">
        <f t="shared" si="123"/>
        <v>0</v>
      </c>
      <c r="AX186" s="383">
        <f t="shared" si="123"/>
        <v>0</v>
      </c>
      <c r="AY186" s="383">
        <f t="shared" si="123"/>
        <v>0</v>
      </c>
      <c r="AZ186" s="383">
        <f t="shared" si="123"/>
        <v>0</v>
      </c>
      <c r="BA186" s="383">
        <f t="shared" si="123"/>
        <v>0</v>
      </c>
      <c r="BB186" s="383">
        <f t="shared" si="123"/>
        <v>0</v>
      </c>
      <c r="BC186" s="383">
        <f t="shared" si="123"/>
        <v>0</v>
      </c>
      <c r="BD186" s="383">
        <f t="shared" si="123"/>
        <v>0</v>
      </c>
      <c r="BE186" s="383">
        <f t="shared" si="123"/>
        <v>0</v>
      </c>
      <c r="BF186" s="383">
        <f t="shared" si="123"/>
        <v>0</v>
      </c>
      <c r="BG186" s="29"/>
      <c r="BH186" s="233"/>
      <c r="BI186" s="408"/>
      <c r="BJ186" s="408"/>
      <c r="BK186" s="408"/>
      <c r="BL186" s="408"/>
      <c r="BM186" s="408"/>
      <c r="BN186" s="233"/>
      <c r="BO186" s="233"/>
      <c r="BP186" s="233"/>
      <c r="BQ186" s="233"/>
      <c r="BR186" s="233"/>
      <c r="BS186" s="233"/>
      <c r="BT186" s="233"/>
      <c r="BU186" s="233"/>
      <c r="BV186" s="233"/>
      <c r="BW186" s="233"/>
      <c r="BX186" s="233"/>
      <c r="BY186" s="233"/>
      <c r="BZ186" s="233"/>
      <c r="CG186" s="233"/>
      <c r="CH186" s="233"/>
      <c r="CI186" s="233"/>
      <c r="CJ186" s="233"/>
      <c r="CK186" s="233"/>
      <c r="CL186" s="233"/>
      <c r="CM186" s="233"/>
      <c r="CN186" s="233"/>
      <c r="CO186" s="233"/>
      <c r="CP186" s="233"/>
      <c r="CQ186" s="233"/>
      <c r="CR186" s="233"/>
      <c r="CS186" s="233"/>
      <c r="CT186" s="233"/>
      <c r="CU186" s="233"/>
      <c r="CV186" s="233"/>
      <c r="CW186" s="233"/>
      <c r="CX186" s="233"/>
      <c r="CY186" s="233"/>
      <c r="CZ186" s="233"/>
      <c r="DA186" s="233"/>
      <c r="DB186" s="233"/>
      <c r="DC186" s="233"/>
      <c r="DD186" s="233"/>
      <c r="DE186" s="29"/>
      <c r="DF186" s="29"/>
      <c r="DG186" s="29"/>
      <c r="DH186" s="29"/>
      <c r="DI186" s="29"/>
      <c r="DJ186" s="29"/>
      <c r="DK186" s="29"/>
      <c r="DL186" s="29"/>
      <c r="DM186" s="29"/>
      <c r="DN186" s="29"/>
      <c r="DO186" s="29"/>
      <c r="DP186" s="29"/>
      <c r="DQ186" s="29"/>
      <c r="DR186" s="29"/>
      <c r="DS186" s="29"/>
      <c r="DT186" s="29"/>
      <c r="DU186" s="29"/>
      <c r="DV186" s="29"/>
      <c r="DW186" s="29"/>
      <c r="DX186" s="29"/>
      <c r="DY186" s="29"/>
      <c r="DZ186" s="29"/>
      <c r="EA186" s="29"/>
      <c r="EB186" s="29"/>
      <c r="EC186" s="29"/>
      <c r="ED186" s="409"/>
      <c r="EE186" s="409"/>
      <c r="EF186" s="409"/>
      <c r="EG186" s="409"/>
      <c r="EH186" s="97"/>
      <c r="EI186" s="97"/>
      <c r="EJ186" s="97"/>
      <c r="EK186" s="97"/>
      <c r="EL186" s="97"/>
      <c r="EM186" s="29"/>
      <c r="EN186" s="29"/>
      <c r="EO186" s="29"/>
      <c r="EP186" s="29"/>
      <c r="EQ186" s="29"/>
      <c r="ER186" s="29"/>
      <c r="ES186" s="29"/>
      <c r="ET186" s="29"/>
      <c r="EU186" s="29"/>
      <c r="EV186" s="30"/>
      <c r="EW186" s="30"/>
      <c r="EX186" s="30"/>
      <c r="EY186" s="30"/>
      <c r="EZ186" s="30"/>
      <c r="FA186" s="30"/>
      <c r="FB186" s="30"/>
      <c r="FC186" s="30"/>
      <c r="FD186" s="30"/>
      <c r="FE186" s="30"/>
      <c r="FF186" s="30"/>
      <c r="FG186" s="30"/>
      <c r="FH186" s="30"/>
      <c r="FI186" s="30"/>
      <c r="FJ186" s="30"/>
      <c r="FK186" s="30"/>
      <c r="FL186" s="30"/>
    </row>
    <row r="187" spans="1:168" x14ac:dyDescent="0.25">
      <c r="A187" s="233"/>
      <c r="B187" s="233"/>
      <c r="C187" s="233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33"/>
      <c r="T187" s="233"/>
      <c r="U187" s="233"/>
      <c r="V187" s="233"/>
      <c r="W187" s="233"/>
      <c r="X187" s="233"/>
      <c r="Y187" s="233"/>
      <c r="Z187" s="233"/>
      <c r="AA187" s="233"/>
      <c r="AB187" s="233"/>
      <c r="AC187" s="233"/>
      <c r="AD187" s="233"/>
      <c r="AE187" s="233"/>
      <c r="AF187" s="233"/>
      <c r="AG187" s="233"/>
      <c r="AH187" s="233"/>
      <c r="AI187" s="233"/>
      <c r="AJ187" s="233"/>
      <c r="AK187" s="233"/>
      <c r="AL187" s="233"/>
      <c r="AM187" s="233"/>
      <c r="AN187" s="233"/>
      <c r="AO187" s="233"/>
      <c r="AP187" s="233"/>
      <c r="AQ187" s="233"/>
      <c r="AR187" s="233"/>
      <c r="AS187" s="29" t="s">
        <v>1565</v>
      </c>
      <c r="AT187" s="383" t="str">
        <f>IF($C$78=$AH$6,$G$78," ")</f>
        <v xml:space="preserve"> </v>
      </c>
      <c r="AU187" s="383">
        <f>IF($AT$187=$AT$161,AU161,IF($AT$187=$AT$162,AU162,IF($AT$187=$AT$163,AU163,IF($AT$187=$AT$164,AU164,IF($AT$187=$AT$165,AU165,IF($AT$187=$AT$166,AU166,IF($AT$187=$AT$167,AU167,IF($AT$187=$AT$168,AU168,IF($AT$187=$AT$169,AU169,IF($AT$187=$AT$170,AU170,IF($AT$187=$AT$171,AU171,IF($AT$187=$AT$172,AU172,IF($AT$187=$AT$173,AU173,IF($AT$187=$AT$174,AU174,IF($AT$187=$AT$175,AU175,0)))))))))))))))</f>
        <v>0</v>
      </c>
      <c r="AV187" s="383">
        <f t="shared" ref="AV187:BF187" si="124">IF($AT$187=$AT$161,AV161,IF($AT$187=$AT$162,AV162,IF($AT$187=$AT$163,AV163,IF($AT$187=$AT$164,AV164,IF($AT$187=$AT$165,AV165,IF($AT$187=$AT$166,AV166,IF($AT$187=$AT$167,AV167,IF($AT$187=$AT$168,AV168,IF($AT$187=$AT$169,AV169,IF($AT$187=$AT$170,AV170,IF($AT$187=$AT$171,AV171,IF($AT$187=$AT$172,AV172,IF($AT$187=$AT$173,AV173,IF($AT$187=$AT$174,AV174,IF($AT$187=$AT$175,AV175,0)))))))))))))))</f>
        <v>0</v>
      </c>
      <c r="AW187" s="383">
        <f t="shared" si="124"/>
        <v>0</v>
      </c>
      <c r="AX187" s="383">
        <f t="shared" si="124"/>
        <v>0</v>
      </c>
      <c r="AY187" s="383">
        <f t="shared" si="124"/>
        <v>0</v>
      </c>
      <c r="AZ187" s="383">
        <f t="shared" si="124"/>
        <v>0</v>
      </c>
      <c r="BA187" s="383">
        <f t="shared" si="124"/>
        <v>0</v>
      </c>
      <c r="BB187" s="383">
        <f t="shared" si="124"/>
        <v>0</v>
      </c>
      <c r="BC187" s="383">
        <f t="shared" si="124"/>
        <v>0</v>
      </c>
      <c r="BD187" s="383">
        <f t="shared" si="124"/>
        <v>0</v>
      </c>
      <c r="BE187" s="383">
        <f t="shared" si="124"/>
        <v>0</v>
      </c>
      <c r="BF187" s="383">
        <f t="shared" si="124"/>
        <v>0</v>
      </c>
      <c r="BG187" s="29"/>
      <c r="BH187" s="233"/>
      <c r="BI187" s="408"/>
      <c r="BJ187" s="408"/>
      <c r="BK187" s="408"/>
      <c r="BL187" s="408"/>
      <c r="BM187" s="408"/>
      <c r="BN187" s="233"/>
      <c r="BO187" s="233"/>
      <c r="BP187" s="233"/>
      <c r="BQ187" s="233"/>
      <c r="BR187" s="233"/>
      <c r="BS187" s="233"/>
      <c r="BT187" s="233"/>
      <c r="BU187" s="233"/>
      <c r="BV187" s="233"/>
      <c r="BW187" s="233"/>
      <c r="BX187" s="233"/>
      <c r="BY187" s="233"/>
      <c r="BZ187" s="29"/>
      <c r="CG187" s="29"/>
      <c r="CH187" s="29"/>
      <c r="CI187" s="29"/>
      <c r="CJ187" s="29"/>
      <c r="CK187" s="29"/>
      <c r="CL187" s="29"/>
      <c r="CM187" s="233"/>
      <c r="CN187" s="233"/>
      <c r="CO187" s="233"/>
      <c r="CP187" s="233"/>
      <c r="CQ187" s="233"/>
      <c r="CR187" s="233"/>
      <c r="CS187" s="233"/>
      <c r="CT187" s="233"/>
      <c r="CU187" s="233"/>
      <c r="CV187" s="233"/>
      <c r="CW187" s="233"/>
      <c r="CX187" s="233"/>
      <c r="CY187" s="233"/>
      <c r="CZ187" s="233"/>
      <c r="DA187" s="233"/>
      <c r="DB187" s="233"/>
      <c r="DC187" s="233"/>
      <c r="DD187" s="233"/>
      <c r="DE187" s="29"/>
      <c r="DF187" s="29"/>
      <c r="DG187" s="29"/>
      <c r="DH187" s="29"/>
      <c r="DI187" s="29"/>
      <c r="DJ187" s="29"/>
      <c r="DK187" s="29"/>
      <c r="DL187" s="29"/>
      <c r="DM187" s="29"/>
      <c r="DN187" s="29"/>
      <c r="DO187" s="29"/>
      <c r="DP187" s="29"/>
      <c r="DQ187" s="29"/>
      <c r="DR187" s="29"/>
      <c r="DS187" s="29"/>
      <c r="DT187" s="29"/>
      <c r="DU187" s="29"/>
      <c r="DV187" s="29"/>
      <c r="DW187" s="29"/>
      <c r="DX187" s="29"/>
      <c r="DY187" s="29"/>
      <c r="DZ187" s="29"/>
      <c r="EA187" s="29"/>
      <c r="EB187" s="29"/>
      <c r="EC187" s="29"/>
      <c r="ED187" s="409"/>
      <c r="EE187" s="409"/>
      <c r="EF187" s="409"/>
      <c r="EG187" s="409"/>
      <c r="EH187" s="97"/>
      <c r="EI187" s="97"/>
      <c r="EJ187" s="97"/>
      <c r="EK187" s="97"/>
      <c r="EL187" s="97"/>
      <c r="EM187" s="29"/>
      <c r="EN187" s="29"/>
      <c r="EO187" s="29"/>
      <c r="EP187" s="29"/>
      <c r="EQ187" s="29"/>
      <c r="ER187" s="29"/>
      <c r="ES187" s="29"/>
      <c r="ET187" s="29"/>
      <c r="EU187" s="29"/>
      <c r="EV187" s="30"/>
      <c r="EW187" s="30"/>
      <c r="EX187" s="30"/>
      <c r="EY187" s="30"/>
      <c r="EZ187" s="30"/>
      <c r="FA187" s="30"/>
      <c r="FB187" s="30"/>
      <c r="FC187" s="30"/>
      <c r="FD187" s="30"/>
      <c r="FE187" s="30"/>
      <c r="FF187" s="30"/>
      <c r="FG187" s="30"/>
      <c r="FH187" s="30"/>
      <c r="FI187" s="30"/>
      <c r="FJ187" s="30"/>
      <c r="FK187" s="30"/>
      <c r="FL187" s="30"/>
    </row>
    <row r="188" spans="1:168" x14ac:dyDescent="0.25">
      <c r="A188" s="233"/>
      <c r="B188" s="233"/>
      <c r="C188" s="233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  <c r="W188" s="233"/>
      <c r="X188" s="233"/>
      <c r="Y188" s="233"/>
      <c r="Z188" s="233"/>
      <c r="AA188" s="233"/>
      <c r="AB188" s="233"/>
      <c r="AC188" s="233"/>
      <c r="AD188" s="233"/>
      <c r="AE188" s="233"/>
      <c r="AF188" s="233"/>
      <c r="AG188" s="233"/>
      <c r="AH188" s="233"/>
      <c r="AI188" s="233"/>
      <c r="AJ188" s="233"/>
      <c r="AK188" s="233"/>
      <c r="AL188" s="233"/>
      <c r="AM188" s="233"/>
      <c r="AN188" s="233"/>
      <c r="AO188" s="233"/>
      <c r="AP188" s="233"/>
      <c r="AQ188" s="233"/>
      <c r="AR188" s="233"/>
      <c r="AS188" s="29" t="s">
        <v>1566</v>
      </c>
      <c r="AT188" s="383" t="str">
        <f>IF($C$90=$AH$6,$G$90," ")</f>
        <v xml:space="preserve"> </v>
      </c>
      <c r="AU188" s="383">
        <f>IF($AT$188=$AT$161,AU161,IF($AT$188=$AT$162,AU162,IF($AT$188=$AT$163,AU163,IF($AT$188=$AT$164,AU164,IF($AT$188=$AT$165,AU165,IF($AT$188=$AT$166,AU166,IF($AT$188=$AT$167,AU167,IF($AT$188=$AT$168,AU168,IF($AT$188=$AT$169,AU169,IF($AT$188=$AT$170,AU170,IF($AT$188=$AT$171,AU171,IF($AT$188=$AT$172,AU172,IF($AT$188=$AT$173,AU173,IF($AT$188=$AT$174,AU174,IF($AT$188=$AT$175,AU175,0)))))))))))))))</f>
        <v>0</v>
      </c>
      <c r="AV188" s="383">
        <f t="shared" ref="AV188:BF188" si="125">IF($AT$188=$AT$161,AV161,IF($AT$188=$AT$162,AV162,IF($AT$188=$AT$163,AV163,IF($AT$188=$AT$164,AV164,IF($AT$188=$AT$165,AV165,IF($AT$188=$AT$166,AV166,IF($AT$188=$AT$167,AV167,IF($AT$188=$AT$168,AV168,IF($AT$188=$AT$169,AV169,IF($AT$188=$AT$170,AV170,IF($AT$188=$AT$171,AV171,IF($AT$188=$AT$172,AV172,IF($AT$188=$AT$173,AV173,IF($AT$188=$AT$174,AV174,IF($AT$188=$AT$175,AV175,0)))))))))))))))</f>
        <v>0</v>
      </c>
      <c r="AW188" s="383">
        <f t="shared" si="125"/>
        <v>0</v>
      </c>
      <c r="AX188" s="383">
        <f t="shared" si="125"/>
        <v>0</v>
      </c>
      <c r="AY188" s="383">
        <f t="shared" si="125"/>
        <v>0</v>
      </c>
      <c r="AZ188" s="383">
        <f t="shared" si="125"/>
        <v>0</v>
      </c>
      <c r="BA188" s="383">
        <f t="shared" si="125"/>
        <v>0</v>
      </c>
      <c r="BB188" s="383">
        <f t="shared" si="125"/>
        <v>0</v>
      </c>
      <c r="BC188" s="383">
        <f t="shared" si="125"/>
        <v>0</v>
      </c>
      <c r="BD188" s="383">
        <f t="shared" si="125"/>
        <v>0</v>
      </c>
      <c r="BE188" s="383">
        <f t="shared" si="125"/>
        <v>0</v>
      </c>
      <c r="BF188" s="383">
        <f t="shared" si="125"/>
        <v>0</v>
      </c>
      <c r="BG188" s="29"/>
      <c r="BH188" s="233"/>
      <c r="BI188" s="408"/>
      <c r="BJ188" s="408"/>
      <c r="BK188" s="408"/>
      <c r="BL188" s="408"/>
      <c r="BM188" s="408"/>
      <c r="BN188" s="233"/>
      <c r="BO188" s="233"/>
      <c r="BP188" s="233"/>
      <c r="BQ188" s="233"/>
      <c r="BR188" s="233"/>
      <c r="BS188" s="233"/>
      <c r="BT188" s="233"/>
      <c r="BU188" s="233"/>
      <c r="BV188" s="233"/>
      <c r="BW188" s="233"/>
      <c r="BX188" s="233"/>
      <c r="BY188" s="233"/>
      <c r="BZ188" s="29"/>
      <c r="CG188" s="29"/>
      <c r="CH188" s="29"/>
      <c r="CI188" s="29"/>
      <c r="CJ188" s="29"/>
      <c r="CK188" s="29"/>
      <c r="CL188" s="29"/>
      <c r="CM188" s="233"/>
      <c r="CN188" s="233"/>
      <c r="CO188" s="233"/>
      <c r="CP188" s="233"/>
      <c r="CQ188" s="233"/>
      <c r="CR188" s="233"/>
      <c r="CS188" s="233"/>
      <c r="CT188" s="233"/>
      <c r="CU188" s="233"/>
      <c r="CV188" s="233"/>
      <c r="CW188" s="233"/>
      <c r="CX188" s="233"/>
      <c r="CY188" s="233"/>
      <c r="CZ188" s="233"/>
      <c r="DA188" s="233"/>
      <c r="DB188" s="233"/>
      <c r="DC188" s="233"/>
      <c r="DD188" s="233"/>
      <c r="DE188" s="29"/>
      <c r="DF188" s="29"/>
      <c r="DG188" s="29"/>
      <c r="DH188" s="29"/>
      <c r="DI188" s="29"/>
      <c r="DJ188" s="29"/>
      <c r="DK188" s="29"/>
      <c r="DL188" s="29"/>
      <c r="DM188" s="29"/>
      <c r="DN188" s="29"/>
      <c r="DO188" s="29"/>
      <c r="DP188" s="29"/>
      <c r="DQ188" s="29"/>
      <c r="DR188" s="29"/>
      <c r="DS188" s="29"/>
      <c r="DT188" s="29"/>
      <c r="DU188" s="29"/>
      <c r="DV188" s="29"/>
      <c r="DW188" s="29"/>
      <c r="DX188" s="29"/>
      <c r="DY188" s="29"/>
      <c r="DZ188" s="29"/>
      <c r="EA188" s="29"/>
      <c r="EB188" s="29"/>
      <c r="EC188" s="29"/>
      <c r="ED188" s="409"/>
      <c r="EE188" s="409"/>
      <c r="EF188" s="409"/>
      <c r="EG188" s="409"/>
      <c r="EH188" s="97"/>
      <c r="EI188" s="97"/>
      <c r="EJ188" s="97"/>
      <c r="EK188" s="97"/>
      <c r="EL188" s="97"/>
      <c r="EM188" s="29"/>
      <c r="EN188" s="29"/>
      <c r="EO188" s="29"/>
      <c r="EP188" s="29"/>
      <c r="EQ188" s="29"/>
      <c r="ER188" s="29"/>
      <c r="ES188" s="29"/>
      <c r="ET188" s="29"/>
      <c r="EU188" s="29"/>
      <c r="EV188" s="30"/>
      <c r="EW188" s="30"/>
      <c r="EX188" s="30"/>
      <c r="EY188" s="30"/>
      <c r="EZ188" s="30"/>
      <c r="FA188" s="30"/>
      <c r="FB188" s="30"/>
      <c r="FC188" s="30"/>
      <c r="FD188" s="30"/>
      <c r="FE188" s="30"/>
      <c r="FF188" s="30"/>
      <c r="FG188" s="30"/>
      <c r="FH188" s="30"/>
      <c r="FI188" s="30"/>
      <c r="FJ188" s="30"/>
      <c r="FK188" s="30"/>
      <c r="FL188" s="30"/>
    </row>
    <row r="189" spans="1:168" x14ac:dyDescent="0.25">
      <c r="A189" s="233"/>
      <c r="B189" s="233"/>
      <c r="C189" s="233"/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  <c r="W189" s="233"/>
      <c r="X189" s="233"/>
      <c r="Y189" s="233"/>
      <c r="Z189" s="233"/>
      <c r="AA189" s="233"/>
      <c r="AB189" s="233"/>
      <c r="AC189" s="233"/>
      <c r="AD189" s="233"/>
      <c r="AE189" s="233"/>
      <c r="AF189" s="233"/>
      <c r="AG189" s="233"/>
      <c r="AH189" s="233"/>
      <c r="AI189" s="233"/>
      <c r="AJ189" s="233"/>
      <c r="AK189" s="233"/>
      <c r="AL189" s="233"/>
      <c r="AM189" s="233"/>
      <c r="AN189" s="233"/>
      <c r="AO189" s="233"/>
      <c r="AP189" s="233"/>
      <c r="AQ189" s="233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36"/>
      <c r="BJ189" s="408"/>
      <c r="BK189" s="408"/>
      <c r="BL189" s="408"/>
      <c r="BM189" s="408"/>
      <c r="BN189" s="233"/>
      <c r="BO189" s="233"/>
      <c r="BP189" s="233"/>
      <c r="BQ189" s="233"/>
      <c r="BR189" s="233"/>
      <c r="BS189" s="233"/>
      <c r="BT189" s="233"/>
      <c r="BU189" s="233"/>
      <c r="BV189" s="233"/>
      <c r="BW189" s="233"/>
      <c r="BX189" s="233"/>
      <c r="BY189" s="233"/>
      <c r="BZ189" s="29"/>
      <c r="CG189" s="29"/>
      <c r="CH189" s="29"/>
      <c r="CI189" s="29"/>
      <c r="CJ189" s="29"/>
      <c r="CK189" s="29"/>
      <c r="CL189" s="29"/>
      <c r="CM189" s="233"/>
      <c r="CN189" s="233"/>
      <c r="CO189" s="233"/>
      <c r="CP189" s="233"/>
      <c r="CQ189" s="233"/>
      <c r="CR189" s="233"/>
      <c r="CS189" s="233"/>
      <c r="CT189" s="233"/>
      <c r="CU189" s="233"/>
      <c r="CV189" s="233"/>
      <c r="CW189" s="233"/>
      <c r="CX189" s="233"/>
      <c r="CY189" s="233"/>
      <c r="CZ189" s="233"/>
      <c r="DA189" s="233"/>
      <c r="DB189" s="233"/>
      <c r="DC189" s="233"/>
      <c r="DD189" s="233"/>
      <c r="DE189" s="29"/>
      <c r="DF189" s="29"/>
      <c r="DG189" s="29"/>
      <c r="DH189" s="29"/>
      <c r="DI189" s="29"/>
      <c r="DJ189" s="29"/>
      <c r="DK189" s="29"/>
      <c r="DL189" s="29"/>
      <c r="DM189" s="29"/>
      <c r="DN189" s="29"/>
      <c r="DO189" s="29"/>
      <c r="DP189" s="29"/>
      <c r="DQ189" s="29"/>
      <c r="DR189" s="29"/>
      <c r="DS189" s="29"/>
      <c r="DT189" s="29"/>
      <c r="DU189" s="29"/>
      <c r="DV189" s="29"/>
      <c r="DW189" s="29"/>
      <c r="DX189" s="29"/>
      <c r="DY189" s="29"/>
      <c r="DZ189" s="29"/>
      <c r="EA189" s="29"/>
      <c r="EB189" s="29"/>
      <c r="EC189" s="29"/>
      <c r="EU189" s="29"/>
      <c r="EV189" s="30"/>
      <c r="EW189" s="30"/>
      <c r="EX189" s="30"/>
      <c r="EY189" s="30"/>
      <c r="EZ189" s="30"/>
      <c r="FA189" s="30"/>
      <c r="FB189" s="30"/>
      <c r="FC189" s="30"/>
      <c r="FD189" s="30"/>
      <c r="FE189" s="30"/>
      <c r="FF189" s="30"/>
      <c r="FG189" s="30"/>
      <c r="FH189" s="30"/>
      <c r="FI189" s="30"/>
      <c r="FJ189" s="30"/>
      <c r="FK189" s="30"/>
      <c r="FL189" s="30"/>
    </row>
    <row r="190" spans="1:168" ht="15" customHeight="1" x14ac:dyDescent="0.25">
      <c r="A190" s="233"/>
      <c r="B190" s="233"/>
      <c r="C190" s="233"/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  <c r="W190" s="233"/>
      <c r="X190" s="233"/>
      <c r="Y190" s="233"/>
      <c r="Z190" s="233"/>
      <c r="AA190" s="233"/>
      <c r="AB190" s="233"/>
      <c r="AC190" s="233"/>
      <c r="AD190" s="233"/>
      <c r="AE190" s="233"/>
      <c r="AF190" s="233"/>
      <c r="AG190" s="233"/>
      <c r="AH190" s="233"/>
      <c r="AI190" s="233"/>
      <c r="AJ190" s="233"/>
      <c r="AK190" s="233"/>
      <c r="AL190" s="233"/>
      <c r="AM190" s="233"/>
      <c r="AN190" s="233"/>
      <c r="AO190" s="233"/>
      <c r="AP190" s="233"/>
      <c r="AQ190" s="233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36"/>
      <c r="BJ190" s="408"/>
      <c r="BK190" s="408"/>
      <c r="BL190" s="408"/>
      <c r="BM190" s="408"/>
      <c r="BN190" s="233"/>
      <c r="BO190" s="233"/>
      <c r="BP190" s="233"/>
      <c r="BQ190" s="233"/>
      <c r="BR190" s="233"/>
      <c r="BS190" s="233"/>
      <c r="BT190" s="233"/>
      <c r="BU190" s="233"/>
      <c r="BV190" s="233"/>
      <c r="BW190" s="233"/>
      <c r="BX190" s="233"/>
      <c r="BY190" s="233"/>
      <c r="BZ190" s="29"/>
      <c r="CG190" s="29"/>
      <c r="CH190" s="29"/>
      <c r="CI190" s="29"/>
      <c r="CJ190" s="29"/>
      <c r="CK190" s="29"/>
      <c r="CL190" s="29"/>
      <c r="CM190" s="233"/>
      <c r="CN190" s="233"/>
      <c r="CO190" s="233"/>
      <c r="CP190" s="233"/>
      <c r="CQ190" s="233"/>
      <c r="CR190" s="233"/>
      <c r="CS190" s="233"/>
      <c r="CT190" s="233"/>
      <c r="CU190" s="233"/>
      <c r="CV190" s="233"/>
      <c r="CW190" s="233"/>
      <c r="CX190" s="233"/>
      <c r="CY190" s="233"/>
      <c r="CZ190" s="233"/>
      <c r="DA190" s="233"/>
      <c r="DB190" s="233"/>
      <c r="DC190" s="233"/>
      <c r="DD190" s="233"/>
      <c r="DE190" s="29"/>
      <c r="DF190" s="29"/>
      <c r="DG190" s="29"/>
      <c r="DH190" s="29"/>
      <c r="DI190" s="29"/>
      <c r="DJ190" s="29"/>
      <c r="DK190" s="29"/>
      <c r="DL190" s="29"/>
      <c r="DM190" s="29"/>
      <c r="DN190" s="29"/>
      <c r="DO190" s="29"/>
      <c r="DP190" s="29"/>
      <c r="DQ190" s="29"/>
      <c r="DR190" s="29"/>
      <c r="DS190" s="29"/>
      <c r="DT190" s="29"/>
      <c r="DU190" s="29"/>
      <c r="DV190" s="29"/>
      <c r="DW190" s="29"/>
      <c r="DX190" s="29"/>
      <c r="DY190" s="29"/>
      <c r="DZ190" s="29"/>
      <c r="EA190" s="29"/>
      <c r="EB190" s="29"/>
      <c r="EC190" s="29"/>
      <c r="EU190" s="29"/>
      <c r="EV190" s="30"/>
      <c r="EW190" s="30"/>
      <c r="EX190" s="30"/>
      <c r="EY190" s="30"/>
      <c r="EZ190" s="30"/>
      <c r="FA190" s="30"/>
      <c r="FB190" s="30"/>
      <c r="FC190" s="30"/>
      <c r="FD190" s="30"/>
      <c r="FE190" s="30"/>
      <c r="FF190" s="30"/>
      <c r="FG190" s="30"/>
      <c r="FH190" s="30"/>
      <c r="FI190" s="30"/>
      <c r="FJ190" s="30"/>
      <c r="FK190" s="30"/>
      <c r="FL190" s="30"/>
    </row>
    <row r="191" spans="1:168" ht="15" customHeight="1" x14ac:dyDescent="0.25">
      <c r="A191" s="233"/>
      <c r="B191" s="233"/>
      <c r="C191" s="233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  <c r="W191" s="233"/>
      <c r="X191" s="233"/>
      <c r="Y191" s="233"/>
      <c r="Z191" s="233"/>
      <c r="AA191" s="233"/>
      <c r="AB191" s="233"/>
      <c r="AC191" s="233"/>
      <c r="AD191" s="233"/>
      <c r="AE191" s="233"/>
      <c r="AF191" s="233"/>
      <c r="AG191" s="233"/>
      <c r="AH191" s="233"/>
      <c r="AI191" s="233"/>
      <c r="AJ191" s="233"/>
      <c r="AK191" s="233"/>
      <c r="AL191" s="233"/>
      <c r="AM191" s="233"/>
      <c r="AN191" s="233"/>
      <c r="AO191" s="233"/>
      <c r="AP191" s="233"/>
      <c r="AQ191" s="233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36"/>
      <c r="BJ191" s="408"/>
      <c r="BK191" s="408"/>
      <c r="BL191" s="408"/>
      <c r="BM191" s="408"/>
      <c r="BN191" s="233"/>
      <c r="BO191" s="233"/>
      <c r="BP191" s="233"/>
      <c r="BQ191" s="233"/>
      <c r="BR191" s="233"/>
      <c r="BS191" s="233"/>
      <c r="BT191" s="233"/>
      <c r="BU191" s="233"/>
      <c r="BV191" s="233"/>
      <c r="BW191" s="233"/>
      <c r="BX191" s="233"/>
      <c r="BY191" s="233"/>
      <c r="BZ191" s="29"/>
      <c r="CG191" s="29"/>
      <c r="CH191" s="29"/>
      <c r="CI191" s="29"/>
      <c r="CJ191" s="29"/>
      <c r="CK191" s="29"/>
      <c r="CL191" s="29"/>
      <c r="CM191" s="233"/>
      <c r="CN191" s="233"/>
      <c r="CO191" s="233"/>
      <c r="CP191" s="233"/>
      <c r="CQ191" s="233"/>
      <c r="CR191" s="233"/>
      <c r="CS191" s="233"/>
      <c r="CT191" s="233"/>
      <c r="CU191" s="233"/>
      <c r="CV191" s="233"/>
      <c r="CW191" s="233"/>
      <c r="CX191" s="233"/>
      <c r="CY191" s="233"/>
      <c r="CZ191" s="233"/>
      <c r="DA191" s="233"/>
      <c r="DB191" s="233"/>
      <c r="DC191" s="233"/>
      <c r="DD191" s="233"/>
      <c r="DE191" s="29"/>
      <c r="DF191" s="29"/>
      <c r="DG191" s="29"/>
      <c r="DH191" s="29"/>
      <c r="DI191" s="29"/>
      <c r="DJ191" s="29"/>
      <c r="DK191" s="29"/>
      <c r="DL191" s="29"/>
      <c r="DM191" s="29"/>
      <c r="DN191" s="29"/>
      <c r="DO191" s="29"/>
      <c r="DP191" s="29"/>
      <c r="DQ191" s="29"/>
      <c r="DR191" s="29"/>
      <c r="DS191" s="29"/>
      <c r="DT191" s="29"/>
      <c r="DU191" s="29"/>
      <c r="DV191" s="29"/>
      <c r="DW191" s="29"/>
      <c r="DX191" s="29"/>
      <c r="DY191" s="29"/>
      <c r="DZ191" s="29"/>
      <c r="EA191" s="29"/>
      <c r="EB191" s="29"/>
      <c r="EC191" s="29"/>
      <c r="EU191" s="29"/>
      <c r="EV191" s="30"/>
      <c r="EW191" s="30"/>
      <c r="EX191" s="30"/>
      <c r="EY191" s="30"/>
      <c r="EZ191" s="30"/>
      <c r="FA191" s="30"/>
      <c r="FB191" s="30"/>
      <c r="FC191" s="30"/>
      <c r="FD191" s="30"/>
      <c r="FE191" s="30"/>
      <c r="FF191" s="30"/>
      <c r="FG191" s="30"/>
      <c r="FH191" s="30"/>
      <c r="FI191" s="30"/>
      <c r="FJ191" s="30"/>
      <c r="FK191" s="30"/>
      <c r="FL191" s="30"/>
    </row>
    <row r="192" spans="1:168" x14ac:dyDescent="0.25">
      <c r="A192" s="233"/>
      <c r="B192" s="233"/>
      <c r="C192" s="233"/>
      <c r="D192" s="233"/>
      <c r="E192" s="233"/>
      <c r="F192" s="233"/>
      <c r="G192" s="233"/>
      <c r="H192" s="233"/>
      <c r="I192" s="233"/>
      <c r="J192" s="233"/>
      <c r="K192" s="233"/>
      <c r="L192" s="233"/>
      <c r="M192" s="233"/>
      <c r="N192" s="233"/>
      <c r="O192" s="233"/>
      <c r="P192" s="233"/>
      <c r="Q192" s="233"/>
      <c r="R192" s="233"/>
      <c r="S192" s="233"/>
      <c r="T192" s="233"/>
      <c r="U192" s="233"/>
      <c r="V192" s="233"/>
      <c r="W192" s="233"/>
      <c r="X192" s="233"/>
      <c r="Y192" s="233"/>
      <c r="Z192" s="233"/>
      <c r="AA192" s="233"/>
      <c r="AB192" s="233"/>
      <c r="AC192" s="233"/>
      <c r="AD192" s="233"/>
      <c r="AE192" s="233"/>
      <c r="AF192" s="233"/>
      <c r="AG192" s="233"/>
      <c r="AH192" s="233"/>
      <c r="AI192" s="233"/>
      <c r="AJ192" s="233"/>
      <c r="AK192" s="233"/>
      <c r="AL192" s="233"/>
      <c r="AM192" s="233"/>
      <c r="AN192" s="233"/>
      <c r="AO192" s="233"/>
      <c r="AP192" s="233"/>
      <c r="AQ192" s="233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36"/>
      <c r="BJ192" s="408"/>
      <c r="BK192" s="408"/>
      <c r="BL192" s="408"/>
      <c r="BM192" s="408"/>
      <c r="BN192" s="233"/>
      <c r="BO192" s="233"/>
      <c r="BP192" s="233"/>
      <c r="BQ192" s="233"/>
      <c r="BR192" s="233"/>
      <c r="BS192" s="233"/>
      <c r="BT192" s="233"/>
      <c r="BU192" s="233"/>
      <c r="BV192" s="233"/>
      <c r="BW192" s="233"/>
      <c r="BX192" s="233"/>
      <c r="BY192" s="233"/>
      <c r="BZ192" s="29"/>
      <c r="CG192" s="29"/>
      <c r="CH192" s="29"/>
      <c r="CI192" s="29"/>
      <c r="CJ192" s="29"/>
      <c r="CK192" s="29"/>
      <c r="CL192" s="29"/>
      <c r="CM192" s="233"/>
      <c r="CN192" s="233"/>
      <c r="CO192" s="233"/>
      <c r="CP192" s="233"/>
      <c r="CQ192" s="233"/>
      <c r="CR192" s="233"/>
      <c r="CS192" s="233"/>
      <c r="CT192" s="233"/>
      <c r="CU192" s="233"/>
      <c r="CV192" s="233"/>
      <c r="CW192" s="233"/>
      <c r="CX192" s="233"/>
      <c r="CY192" s="233"/>
      <c r="CZ192" s="233"/>
      <c r="DA192" s="233"/>
      <c r="DB192" s="233"/>
      <c r="DC192" s="233"/>
      <c r="DD192" s="233"/>
      <c r="DE192" s="29"/>
      <c r="DF192" s="29"/>
      <c r="DG192" s="29"/>
      <c r="DH192" s="29"/>
      <c r="DI192" s="29"/>
      <c r="DJ192" s="29"/>
      <c r="DK192" s="29"/>
      <c r="DL192" s="29"/>
      <c r="DM192" s="29"/>
      <c r="DN192" s="29"/>
      <c r="DO192" s="29"/>
      <c r="DP192" s="29"/>
      <c r="DQ192" s="29"/>
      <c r="DR192" s="29"/>
      <c r="DS192" s="29"/>
      <c r="DT192" s="29"/>
      <c r="DU192" s="29"/>
      <c r="DV192" s="29"/>
      <c r="DW192" s="29"/>
      <c r="DX192" s="29"/>
      <c r="DY192" s="29"/>
      <c r="DZ192" s="29"/>
      <c r="EA192" s="29"/>
      <c r="EB192" s="29"/>
      <c r="EC192" s="29"/>
      <c r="EU192" s="29"/>
      <c r="EV192" s="30"/>
      <c r="EW192" s="30"/>
      <c r="EX192" s="30"/>
      <c r="EY192" s="30"/>
      <c r="EZ192" s="30"/>
      <c r="FA192" s="30"/>
      <c r="FB192" s="30"/>
      <c r="FC192" s="30"/>
      <c r="FD192" s="30"/>
      <c r="FE192" s="30"/>
      <c r="FF192" s="30"/>
      <c r="FG192" s="30"/>
      <c r="FH192" s="30"/>
      <c r="FI192" s="30"/>
      <c r="FJ192" s="30"/>
      <c r="FK192" s="30"/>
      <c r="FL192" s="30"/>
    </row>
    <row r="193" spans="1:168" x14ac:dyDescent="0.25">
      <c r="A193" s="233"/>
      <c r="B193" s="233"/>
      <c r="C193" s="233"/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33"/>
      <c r="V193" s="233"/>
      <c r="W193" s="233"/>
      <c r="X193" s="233"/>
      <c r="Y193" s="233"/>
      <c r="Z193" s="233"/>
      <c r="AA193" s="233"/>
      <c r="AB193" s="233"/>
      <c r="AC193" s="233"/>
      <c r="AD193" s="233"/>
      <c r="AE193" s="233"/>
      <c r="AF193" s="233"/>
      <c r="AG193" s="233"/>
      <c r="AH193" s="233"/>
      <c r="AI193" s="233"/>
      <c r="AJ193" s="233"/>
      <c r="AK193" s="233"/>
      <c r="AL193" s="233"/>
      <c r="AM193" s="233"/>
      <c r="AN193" s="233"/>
      <c r="AO193" s="233"/>
      <c r="AP193" s="233"/>
      <c r="AQ193" s="233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36"/>
      <c r="BJ193" s="408"/>
      <c r="BK193" s="408"/>
      <c r="BL193" s="408"/>
      <c r="BM193" s="408"/>
      <c r="BN193" s="233"/>
      <c r="BO193" s="233"/>
      <c r="BP193" s="233"/>
      <c r="BQ193" s="233"/>
      <c r="BR193" s="233"/>
      <c r="BS193" s="233"/>
      <c r="BT193" s="233"/>
      <c r="BU193" s="233"/>
      <c r="BV193" s="233"/>
      <c r="BW193" s="233"/>
      <c r="BX193" s="233"/>
      <c r="BY193" s="233"/>
      <c r="BZ193" s="29"/>
      <c r="CG193" s="29"/>
      <c r="CH193" s="29"/>
      <c r="CI193" s="29"/>
      <c r="CJ193" s="29"/>
      <c r="CK193" s="29"/>
      <c r="CL193" s="29"/>
      <c r="CM193" s="233"/>
      <c r="CN193" s="233"/>
      <c r="CO193" s="233"/>
      <c r="CP193" s="233"/>
      <c r="CQ193" s="233"/>
      <c r="CR193" s="233"/>
      <c r="CS193" s="233"/>
      <c r="CT193" s="233"/>
      <c r="CU193" s="233"/>
      <c r="CV193" s="233"/>
      <c r="CW193" s="233"/>
      <c r="CX193" s="233"/>
      <c r="CY193" s="233"/>
      <c r="CZ193" s="233"/>
      <c r="DA193" s="233"/>
      <c r="DB193" s="233"/>
      <c r="DC193" s="233"/>
      <c r="DD193" s="233"/>
      <c r="DE193" s="29"/>
      <c r="DF193" s="29"/>
      <c r="DG193" s="29"/>
      <c r="DH193" s="29"/>
      <c r="DI193" s="29"/>
      <c r="DJ193" s="29"/>
      <c r="DK193" s="29"/>
      <c r="DL193" s="29"/>
      <c r="DM193" s="29"/>
      <c r="DN193" s="29"/>
      <c r="DO193" s="29"/>
      <c r="DP193" s="29"/>
      <c r="DQ193" s="29"/>
      <c r="DR193" s="29"/>
      <c r="DS193" s="29"/>
      <c r="DT193" s="29"/>
      <c r="DU193" s="29"/>
      <c r="DV193" s="29"/>
      <c r="DW193" s="29"/>
      <c r="DX193" s="29"/>
      <c r="DY193" s="29"/>
      <c r="DZ193" s="29"/>
      <c r="EA193" s="29"/>
      <c r="EB193" s="29"/>
      <c r="EC193" s="29"/>
      <c r="EU193" s="29"/>
      <c r="EV193" s="30"/>
      <c r="EW193" s="30"/>
      <c r="EX193" s="30"/>
      <c r="EY193" s="30"/>
      <c r="EZ193" s="30"/>
      <c r="FA193" s="30"/>
      <c r="FB193" s="30"/>
      <c r="FC193" s="30"/>
      <c r="FD193" s="30"/>
      <c r="FE193" s="30"/>
      <c r="FF193" s="30"/>
      <c r="FG193" s="30"/>
      <c r="FH193" s="30"/>
      <c r="FI193" s="30"/>
      <c r="FJ193" s="30"/>
      <c r="FK193" s="30"/>
      <c r="FL193" s="30"/>
    </row>
    <row r="194" spans="1:168" x14ac:dyDescent="0.25">
      <c r="A194" s="233"/>
      <c r="B194" s="233"/>
      <c r="C194" s="233"/>
      <c r="D194" s="233"/>
      <c r="E194" s="233"/>
      <c r="F194" s="233"/>
      <c r="G194" s="233"/>
      <c r="H194" s="233"/>
      <c r="I194" s="233"/>
      <c r="J194" s="233"/>
      <c r="K194" s="233"/>
      <c r="L194" s="233"/>
      <c r="M194" s="233"/>
      <c r="N194" s="233"/>
      <c r="O194" s="233"/>
      <c r="P194" s="233"/>
      <c r="Q194" s="233"/>
      <c r="R194" s="233"/>
      <c r="S194" s="233"/>
      <c r="T194" s="233"/>
      <c r="U194" s="233"/>
      <c r="V194" s="233"/>
      <c r="W194" s="233"/>
      <c r="X194" s="233"/>
      <c r="Y194" s="233"/>
      <c r="Z194" s="233"/>
      <c r="AA194" s="233"/>
      <c r="AB194" s="233"/>
      <c r="AC194" s="233"/>
      <c r="AD194" s="233"/>
      <c r="AE194" s="233"/>
      <c r="AF194" s="233"/>
      <c r="AG194" s="233"/>
      <c r="AH194" s="233"/>
      <c r="AI194" s="233"/>
      <c r="AJ194" s="233"/>
      <c r="AK194" s="233"/>
      <c r="AL194" s="233"/>
      <c r="AM194" s="233"/>
      <c r="AN194" s="233"/>
      <c r="AO194" s="233"/>
      <c r="AP194" s="233"/>
      <c r="AQ194" s="233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36"/>
      <c r="BJ194" s="408"/>
      <c r="BK194" s="408"/>
      <c r="BL194" s="408"/>
      <c r="BM194" s="408"/>
      <c r="BN194" s="233"/>
      <c r="BO194" s="233"/>
      <c r="BP194" s="233"/>
      <c r="BQ194" s="233"/>
      <c r="BR194" s="233"/>
      <c r="BS194" s="233"/>
      <c r="BT194" s="233"/>
      <c r="BU194" s="233"/>
      <c r="BV194" s="233"/>
      <c r="BW194" s="233"/>
      <c r="BX194" s="233"/>
      <c r="BY194" s="233"/>
      <c r="BZ194" s="29"/>
      <c r="CG194" s="29"/>
      <c r="CH194" s="29"/>
      <c r="CI194" s="29"/>
      <c r="CJ194" s="29"/>
      <c r="CK194" s="29"/>
      <c r="CL194" s="29"/>
      <c r="CM194" s="233"/>
      <c r="CN194" s="233"/>
      <c r="CO194" s="233"/>
      <c r="CP194" s="233"/>
      <c r="CQ194" s="233"/>
      <c r="CR194" s="233"/>
      <c r="CS194" s="233"/>
      <c r="CT194" s="233"/>
      <c r="CU194" s="233"/>
      <c r="CV194" s="233"/>
      <c r="CW194" s="233"/>
      <c r="CX194" s="233"/>
      <c r="CY194" s="233"/>
      <c r="CZ194" s="233"/>
      <c r="DA194" s="233"/>
      <c r="DB194" s="233"/>
      <c r="DC194" s="233"/>
      <c r="DD194" s="233"/>
    </row>
    <row r="195" spans="1:168" x14ac:dyDescent="0.25">
      <c r="A195" s="233"/>
      <c r="B195" s="233"/>
      <c r="C195" s="233"/>
      <c r="D195" s="233"/>
      <c r="E195" s="233"/>
      <c r="F195" s="233"/>
      <c r="G195" s="233"/>
      <c r="H195" s="233"/>
      <c r="I195" s="233"/>
      <c r="J195" s="233"/>
      <c r="K195" s="233"/>
      <c r="L195" s="233"/>
      <c r="M195" s="233"/>
      <c r="N195" s="233"/>
      <c r="O195" s="233"/>
      <c r="P195" s="233"/>
      <c r="Q195" s="233"/>
      <c r="R195" s="233"/>
      <c r="S195" s="233"/>
      <c r="T195" s="233"/>
      <c r="U195" s="233"/>
      <c r="V195" s="233"/>
      <c r="W195" s="233"/>
      <c r="X195" s="233"/>
      <c r="Y195" s="233"/>
      <c r="Z195" s="233"/>
      <c r="AA195" s="233"/>
      <c r="AB195" s="233"/>
      <c r="AC195" s="233"/>
      <c r="AD195" s="233"/>
      <c r="AE195" s="233"/>
      <c r="AF195" s="233"/>
      <c r="AG195" s="233"/>
      <c r="AH195" s="233"/>
      <c r="AI195" s="233"/>
      <c r="AJ195" s="233"/>
      <c r="AK195" s="233"/>
      <c r="AL195" s="233"/>
      <c r="AM195" s="233"/>
      <c r="AN195" s="233"/>
      <c r="AO195" s="233"/>
      <c r="AP195" s="233"/>
      <c r="AQ195" s="233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36"/>
      <c r="BJ195" s="408"/>
      <c r="BK195" s="408"/>
      <c r="BL195" s="408"/>
      <c r="BM195" s="408"/>
      <c r="BN195" s="233"/>
      <c r="BO195" s="233"/>
      <c r="BP195" s="233"/>
      <c r="BQ195" s="233"/>
      <c r="BR195" s="233"/>
      <c r="BS195" s="233"/>
      <c r="BT195" s="233"/>
      <c r="BU195" s="233"/>
      <c r="BV195" s="233"/>
      <c r="BW195" s="233"/>
      <c r="BX195" s="233"/>
      <c r="BY195" s="233"/>
      <c r="BZ195" s="29"/>
      <c r="CG195" s="29"/>
      <c r="CH195" s="29"/>
      <c r="CI195" s="29"/>
      <c r="CJ195" s="29"/>
      <c r="CK195" s="29"/>
      <c r="CL195" s="29"/>
      <c r="CM195" s="233"/>
      <c r="CN195" s="233"/>
      <c r="CO195" s="233"/>
      <c r="CP195" s="233"/>
      <c r="CQ195" s="233"/>
      <c r="CR195" s="233"/>
      <c r="CS195" s="233"/>
      <c r="CT195" s="233"/>
      <c r="CU195" s="233"/>
      <c r="CV195" s="233"/>
      <c r="CW195" s="233"/>
      <c r="CX195" s="233"/>
      <c r="CY195" s="233"/>
      <c r="CZ195" s="233"/>
      <c r="DA195" s="233"/>
      <c r="DB195" s="233"/>
      <c r="DC195" s="233"/>
      <c r="DD195" s="233"/>
    </row>
    <row r="196" spans="1:168" x14ac:dyDescent="0.25">
      <c r="A196" s="233"/>
      <c r="B196" s="233"/>
      <c r="C196" s="233"/>
      <c r="D196" s="233"/>
      <c r="E196" s="233"/>
      <c r="F196" s="233"/>
      <c r="G196" s="233"/>
      <c r="H196" s="233"/>
      <c r="I196" s="233"/>
      <c r="J196" s="233"/>
      <c r="K196" s="233"/>
      <c r="L196" s="233"/>
      <c r="M196" s="233"/>
      <c r="N196" s="233"/>
      <c r="O196" s="233"/>
      <c r="P196" s="233"/>
      <c r="Q196" s="233"/>
      <c r="R196" s="233"/>
      <c r="S196" s="233"/>
      <c r="T196" s="233"/>
      <c r="U196" s="233"/>
      <c r="V196" s="233"/>
      <c r="W196" s="233"/>
      <c r="X196" s="233"/>
      <c r="Y196" s="233"/>
      <c r="Z196" s="233"/>
      <c r="AA196" s="233"/>
      <c r="AB196" s="233"/>
      <c r="AC196" s="233"/>
      <c r="AD196" s="233"/>
      <c r="AE196" s="233"/>
      <c r="AF196" s="233"/>
      <c r="AG196" s="233"/>
      <c r="AH196" s="233"/>
      <c r="AI196" s="233"/>
      <c r="AJ196" s="233"/>
      <c r="AK196" s="233"/>
      <c r="AL196" s="233"/>
      <c r="AM196" s="233"/>
      <c r="AN196" s="233"/>
      <c r="AO196" s="233"/>
      <c r="AP196" s="233"/>
      <c r="AQ196" s="233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36"/>
      <c r="BJ196" s="408"/>
      <c r="BK196" s="408"/>
      <c r="BL196" s="408"/>
      <c r="BM196" s="408"/>
      <c r="BN196" s="233"/>
      <c r="BO196" s="233"/>
      <c r="BP196" s="233"/>
      <c r="BQ196" s="233"/>
      <c r="BR196" s="233"/>
      <c r="BS196" s="233"/>
      <c r="BT196" s="233"/>
      <c r="BU196" s="233"/>
      <c r="BV196" s="233"/>
      <c r="BW196" s="233"/>
      <c r="BX196" s="233"/>
      <c r="BY196" s="233"/>
      <c r="BZ196" s="29"/>
      <c r="CG196" s="29"/>
      <c r="CH196" s="29"/>
      <c r="CI196" s="29"/>
      <c r="CJ196" s="29"/>
      <c r="CK196" s="29"/>
      <c r="CL196" s="29"/>
      <c r="CM196" s="233"/>
      <c r="CN196" s="233"/>
      <c r="CO196" s="233"/>
      <c r="CP196" s="233"/>
      <c r="CQ196" s="233"/>
      <c r="CR196" s="233"/>
      <c r="CS196" s="233"/>
      <c r="CT196" s="233"/>
      <c r="CU196" s="233"/>
      <c r="CV196" s="233"/>
      <c r="CW196" s="233"/>
      <c r="CX196" s="233"/>
      <c r="CY196" s="233"/>
      <c r="CZ196" s="233"/>
      <c r="DA196" s="233"/>
      <c r="DB196" s="233"/>
      <c r="DC196" s="233"/>
      <c r="DD196" s="233"/>
    </row>
    <row r="197" spans="1:168" x14ac:dyDescent="0.25">
      <c r="A197" s="233"/>
      <c r="B197" s="233"/>
      <c r="C197" s="233"/>
      <c r="D197" s="233"/>
      <c r="E197" s="233"/>
      <c r="F197" s="233"/>
      <c r="G197" s="233"/>
      <c r="H197" s="233"/>
      <c r="I197" s="233"/>
      <c r="J197" s="233"/>
      <c r="K197" s="233"/>
      <c r="L197" s="233"/>
      <c r="M197" s="233"/>
      <c r="N197" s="233"/>
      <c r="O197" s="233"/>
      <c r="P197" s="233"/>
      <c r="Q197" s="233"/>
      <c r="R197" s="233"/>
      <c r="S197" s="233"/>
      <c r="T197" s="233"/>
      <c r="U197" s="233"/>
      <c r="V197" s="233"/>
      <c r="W197" s="233"/>
      <c r="X197" s="233"/>
      <c r="Y197" s="233"/>
      <c r="Z197" s="233"/>
      <c r="AA197" s="233"/>
      <c r="AB197" s="233"/>
      <c r="AC197" s="233"/>
      <c r="AD197" s="233"/>
      <c r="AE197" s="233"/>
      <c r="AF197" s="233"/>
      <c r="AG197" s="233"/>
      <c r="AH197" s="233"/>
      <c r="AI197" s="233"/>
      <c r="AJ197" s="233"/>
      <c r="AK197" s="233"/>
      <c r="AL197" s="233"/>
      <c r="AM197" s="233"/>
      <c r="AN197" s="233"/>
      <c r="AO197" s="233"/>
      <c r="AP197" s="233"/>
      <c r="AQ197" s="233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36"/>
      <c r="BJ197" s="408"/>
      <c r="BK197" s="408"/>
      <c r="BL197" s="408"/>
      <c r="BM197" s="408"/>
      <c r="BN197" s="233"/>
      <c r="BO197" s="233"/>
      <c r="BP197" s="233"/>
      <c r="BQ197" s="233"/>
      <c r="BR197" s="233"/>
      <c r="BS197" s="233"/>
      <c r="BT197" s="233"/>
      <c r="BU197" s="233"/>
      <c r="BV197" s="233"/>
      <c r="BW197" s="233"/>
      <c r="BX197" s="233"/>
      <c r="BY197" s="233"/>
      <c r="BZ197" s="29"/>
      <c r="CG197" s="29"/>
      <c r="CH197" s="29"/>
      <c r="CI197" s="29"/>
      <c r="CJ197" s="29"/>
      <c r="CK197" s="29"/>
      <c r="CL197" s="29"/>
      <c r="CM197" s="233"/>
      <c r="CN197" s="233"/>
      <c r="CO197" s="233"/>
      <c r="CP197" s="233"/>
      <c r="CQ197" s="233"/>
      <c r="CR197" s="233"/>
      <c r="CS197" s="233"/>
      <c r="CT197" s="233"/>
      <c r="CU197" s="233"/>
      <c r="CV197" s="233"/>
      <c r="CW197" s="233"/>
      <c r="CX197" s="233"/>
      <c r="CY197" s="233"/>
      <c r="CZ197" s="233"/>
      <c r="DA197" s="233"/>
      <c r="DB197" s="233"/>
      <c r="DC197" s="233"/>
      <c r="DD197" s="233"/>
    </row>
    <row r="198" spans="1:168" x14ac:dyDescent="0.25">
      <c r="A198" s="233"/>
      <c r="B198" s="233"/>
      <c r="C198" s="233"/>
      <c r="D198" s="233"/>
      <c r="E198" s="233"/>
      <c r="F198" s="233"/>
      <c r="G198" s="233"/>
      <c r="H198" s="233"/>
      <c r="I198" s="233"/>
      <c r="J198" s="233"/>
      <c r="K198" s="233"/>
      <c r="L198" s="233"/>
      <c r="M198" s="233"/>
      <c r="N198" s="233"/>
      <c r="O198" s="233"/>
      <c r="P198" s="233"/>
      <c r="Q198" s="233"/>
      <c r="R198" s="233"/>
      <c r="S198" s="233"/>
      <c r="T198" s="233"/>
      <c r="U198" s="233"/>
      <c r="V198" s="233"/>
      <c r="W198" s="233"/>
      <c r="X198" s="233"/>
      <c r="Y198" s="233"/>
      <c r="Z198" s="233"/>
      <c r="AA198" s="233"/>
      <c r="AB198" s="233"/>
      <c r="AC198" s="233"/>
      <c r="AD198" s="233"/>
      <c r="AE198" s="233"/>
      <c r="AF198" s="233"/>
      <c r="AG198" s="233"/>
      <c r="AH198" s="233"/>
      <c r="AI198" s="233"/>
      <c r="AJ198" s="233"/>
      <c r="AK198" s="233"/>
      <c r="AL198" s="233"/>
      <c r="AM198" s="233"/>
      <c r="AN198" s="233"/>
      <c r="AO198" s="233"/>
      <c r="AP198" s="233"/>
      <c r="AQ198" s="233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36"/>
      <c r="BJ198" s="408"/>
      <c r="BK198" s="408"/>
      <c r="BL198" s="408"/>
      <c r="BM198" s="408"/>
      <c r="BN198" s="233"/>
      <c r="BO198" s="233"/>
      <c r="BP198" s="233"/>
      <c r="BQ198" s="233"/>
      <c r="BR198" s="233"/>
      <c r="BS198" s="233"/>
      <c r="BT198" s="233"/>
      <c r="BU198" s="233"/>
      <c r="BV198" s="233"/>
      <c r="BW198" s="233"/>
      <c r="BX198" s="233"/>
      <c r="BY198" s="233"/>
      <c r="BZ198" s="29"/>
      <c r="CG198" s="29"/>
      <c r="CH198" s="29"/>
      <c r="CI198" s="29"/>
      <c r="CJ198" s="29"/>
      <c r="CK198" s="29"/>
      <c r="CL198" s="29"/>
      <c r="CM198" s="233"/>
      <c r="CN198" s="233"/>
      <c r="CO198" s="233"/>
      <c r="CP198" s="233"/>
      <c r="CQ198" s="233"/>
      <c r="CR198" s="233"/>
      <c r="CS198" s="233"/>
      <c r="CT198" s="233"/>
      <c r="CU198" s="233"/>
      <c r="CV198" s="233"/>
      <c r="CW198" s="233"/>
      <c r="CX198" s="233"/>
      <c r="CY198" s="233"/>
      <c r="CZ198" s="233"/>
      <c r="DA198" s="233"/>
      <c r="DB198" s="233"/>
      <c r="DC198" s="233"/>
      <c r="DD198" s="233"/>
    </row>
    <row r="199" spans="1:168" x14ac:dyDescent="0.25">
      <c r="A199" s="233"/>
      <c r="B199" s="233"/>
      <c r="C199" s="233"/>
      <c r="D199" s="233"/>
      <c r="E199" s="233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33"/>
      <c r="R199" s="233"/>
      <c r="S199" s="233"/>
      <c r="T199" s="233"/>
      <c r="U199" s="233"/>
      <c r="V199" s="233"/>
      <c r="W199" s="233"/>
      <c r="X199" s="233"/>
      <c r="Y199" s="233"/>
      <c r="Z199" s="233"/>
      <c r="AA199" s="233"/>
      <c r="AB199" s="233"/>
      <c r="AC199" s="233"/>
      <c r="AD199" s="233"/>
      <c r="AE199" s="233"/>
      <c r="AF199" s="233"/>
      <c r="AG199" s="233"/>
      <c r="AH199" s="233"/>
      <c r="AI199" s="233"/>
      <c r="AJ199" s="233"/>
      <c r="AK199" s="233"/>
      <c r="AL199" s="233"/>
      <c r="AM199" s="233"/>
      <c r="AN199" s="233"/>
      <c r="AO199" s="233"/>
      <c r="AP199" s="233"/>
      <c r="AQ199" s="233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36"/>
      <c r="BJ199" s="408"/>
      <c r="BK199" s="408"/>
      <c r="BL199" s="408"/>
      <c r="BM199" s="408"/>
      <c r="BN199" s="233"/>
      <c r="BO199" s="233"/>
      <c r="BP199" s="233"/>
      <c r="BQ199" s="233"/>
      <c r="BR199" s="233"/>
      <c r="BS199" s="233"/>
      <c r="BT199" s="233"/>
      <c r="BU199" s="233"/>
      <c r="BV199" s="233"/>
      <c r="BW199" s="233"/>
      <c r="BX199" s="233"/>
      <c r="BY199" s="233"/>
      <c r="BZ199" s="29"/>
      <c r="CG199" s="29"/>
      <c r="CH199" s="29"/>
      <c r="CI199" s="29"/>
      <c r="CJ199" s="29"/>
      <c r="CK199" s="29"/>
      <c r="CL199" s="29"/>
      <c r="CM199" s="233"/>
      <c r="CN199" s="233"/>
      <c r="CO199" s="233"/>
      <c r="CP199" s="233"/>
      <c r="CQ199" s="233"/>
      <c r="CR199" s="233"/>
      <c r="CS199" s="233"/>
      <c r="CT199" s="233"/>
      <c r="CU199" s="233"/>
      <c r="CV199" s="233"/>
      <c r="CW199" s="233"/>
      <c r="CX199" s="233"/>
      <c r="CY199" s="233"/>
      <c r="CZ199" s="233"/>
      <c r="DA199" s="233"/>
      <c r="DB199" s="233"/>
      <c r="DC199" s="233"/>
      <c r="DD199" s="233"/>
    </row>
    <row r="200" spans="1:168" x14ac:dyDescent="0.25">
      <c r="A200" s="233"/>
      <c r="B200" s="233"/>
      <c r="C200" s="233"/>
      <c r="D200" s="233"/>
      <c r="E200" s="233"/>
      <c r="F200" s="233"/>
      <c r="G200" s="233"/>
      <c r="H200" s="233"/>
      <c r="I200" s="233"/>
      <c r="J200" s="233"/>
      <c r="K200" s="233"/>
      <c r="L200" s="233"/>
      <c r="M200" s="233"/>
      <c r="N200" s="233"/>
      <c r="O200" s="233"/>
      <c r="P200" s="233"/>
      <c r="Q200" s="233"/>
      <c r="R200" s="233"/>
      <c r="S200" s="233"/>
      <c r="T200" s="233"/>
      <c r="U200" s="233"/>
      <c r="V200" s="233"/>
      <c r="W200" s="233"/>
      <c r="X200" s="233"/>
      <c r="Y200" s="233"/>
      <c r="Z200" s="233"/>
      <c r="AA200" s="233"/>
      <c r="AB200" s="233"/>
      <c r="AC200" s="233"/>
      <c r="AD200" s="233"/>
      <c r="AE200" s="233"/>
      <c r="AF200" s="233"/>
      <c r="AG200" s="233"/>
      <c r="AH200" s="233"/>
      <c r="AI200" s="233"/>
      <c r="AJ200" s="233"/>
      <c r="AK200" s="233"/>
      <c r="AL200" s="233"/>
      <c r="AM200" s="233"/>
      <c r="AN200" s="233"/>
      <c r="AO200" s="233"/>
      <c r="AP200" s="233"/>
      <c r="AQ200" s="233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36"/>
      <c r="BJ200" s="408"/>
      <c r="BK200" s="408"/>
      <c r="BL200" s="408"/>
      <c r="BM200" s="408"/>
      <c r="BN200" s="233"/>
      <c r="BO200" s="233"/>
      <c r="BP200" s="233"/>
      <c r="BQ200" s="233"/>
      <c r="BR200" s="233"/>
      <c r="BS200" s="233"/>
      <c r="BT200" s="233"/>
      <c r="BU200" s="233"/>
      <c r="BV200" s="233"/>
      <c r="BW200" s="233"/>
      <c r="BX200" s="233"/>
      <c r="BY200" s="233"/>
      <c r="BZ200" s="29"/>
      <c r="CG200" s="29"/>
      <c r="CH200" s="29"/>
      <c r="CI200" s="29"/>
      <c r="CJ200" s="29"/>
      <c r="CK200" s="29"/>
      <c r="CL200" s="29"/>
      <c r="CM200" s="233"/>
      <c r="CN200" s="233"/>
      <c r="CO200" s="233"/>
      <c r="CP200" s="233"/>
      <c r="CQ200" s="233"/>
      <c r="CR200" s="233"/>
      <c r="CS200" s="233"/>
      <c r="CT200" s="233"/>
      <c r="CU200" s="233"/>
      <c r="CV200" s="233"/>
      <c r="CW200" s="233"/>
      <c r="CX200" s="233"/>
      <c r="CY200" s="233"/>
      <c r="CZ200" s="233"/>
      <c r="DA200" s="233"/>
      <c r="DB200" s="233"/>
      <c r="DC200" s="233"/>
      <c r="DD200" s="233"/>
    </row>
    <row r="201" spans="1:168" x14ac:dyDescent="0.25">
      <c r="A201" s="233"/>
      <c r="B201" s="233"/>
      <c r="C201" s="233"/>
      <c r="D201" s="233"/>
      <c r="E201" s="233"/>
      <c r="F201" s="233"/>
      <c r="G201" s="233"/>
      <c r="H201" s="233"/>
      <c r="I201" s="233"/>
      <c r="J201" s="233"/>
      <c r="K201" s="233"/>
      <c r="L201" s="233"/>
      <c r="M201" s="233"/>
      <c r="N201" s="233"/>
      <c r="O201" s="233"/>
      <c r="P201" s="233"/>
      <c r="Q201" s="233"/>
      <c r="R201" s="233"/>
      <c r="S201" s="233"/>
      <c r="T201" s="233"/>
      <c r="U201" s="233"/>
      <c r="V201" s="233"/>
      <c r="W201" s="233"/>
      <c r="X201" s="233"/>
      <c r="Y201" s="233"/>
      <c r="Z201" s="233"/>
      <c r="AA201" s="233"/>
      <c r="AB201" s="233"/>
      <c r="AC201" s="233"/>
      <c r="AD201" s="233"/>
      <c r="AE201" s="233"/>
      <c r="AF201" s="233"/>
      <c r="AG201" s="233"/>
      <c r="AH201" s="233"/>
      <c r="AI201" s="233"/>
      <c r="AJ201" s="233"/>
      <c r="AK201" s="233"/>
      <c r="AL201" s="233"/>
      <c r="AM201" s="233"/>
      <c r="AN201" s="233"/>
      <c r="AO201" s="233"/>
      <c r="AP201" s="233"/>
      <c r="AQ201" s="233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36"/>
      <c r="BJ201" s="408"/>
      <c r="BK201" s="408"/>
      <c r="BL201" s="408"/>
      <c r="BM201" s="408"/>
      <c r="BN201" s="233"/>
      <c r="BO201" s="233"/>
      <c r="BP201" s="233"/>
      <c r="BQ201" s="233"/>
      <c r="BR201" s="233"/>
      <c r="BS201" s="233"/>
      <c r="BT201" s="233"/>
      <c r="BU201" s="233"/>
      <c r="BV201" s="233"/>
      <c r="BW201" s="233"/>
      <c r="BX201" s="233"/>
      <c r="BY201" s="233"/>
      <c r="BZ201" s="29"/>
      <c r="CG201" s="29"/>
      <c r="CH201" s="29"/>
      <c r="CI201" s="29"/>
      <c r="CJ201" s="29"/>
      <c r="CK201" s="29"/>
      <c r="CL201" s="29"/>
      <c r="CM201" s="233"/>
      <c r="CN201" s="233"/>
      <c r="CO201" s="233"/>
      <c r="CP201" s="233"/>
      <c r="CQ201" s="233"/>
      <c r="CR201" s="233"/>
      <c r="CS201" s="233"/>
      <c r="CT201" s="233"/>
      <c r="CU201" s="233"/>
      <c r="CV201" s="233"/>
      <c r="CW201" s="233"/>
      <c r="CX201" s="233"/>
      <c r="CY201" s="233"/>
      <c r="CZ201" s="233"/>
      <c r="DA201" s="233"/>
      <c r="DB201" s="233"/>
      <c r="DC201" s="233"/>
      <c r="DD201" s="233"/>
    </row>
    <row r="202" spans="1:168" ht="15" customHeight="1" x14ac:dyDescent="0.25">
      <c r="A202" s="233"/>
      <c r="B202" s="233"/>
      <c r="C202" s="233"/>
      <c r="D202" s="233"/>
      <c r="E202" s="233"/>
      <c r="F202" s="233"/>
      <c r="G202" s="233"/>
      <c r="H202" s="233"/>
      <c r="I202" s="233"/>
      <c r="J202" s="233"/>
      <c r="K202" s="233"/>
      <c r="L202" s="233"/>
      <c r="M202" s="233"/>
      <c r="N202" s="233"/>
      <c r="O202" s="233"/>
      <c r="P202" s="233"/>
      <c r="Q202" s="233"/>
      <c r="R202" s="233"/>
      <c r="S202" s="233"/>
      <c r="T202" s="233"/>
      <c r="U202" s="233"/>
      <c r="V202" s="233"/>
      <c r="W202" s="233"/>
      <c r="X202" s="233"/>
      <c r="Y202" s="233"/>
      <c r="Z202" s="233"/>
      <c r="AA202" s="233"/>
      <c r="AB202" s="233"/>
      <c r="AC202" s="233"/>
      <c r="AD202" s="233"/>
      <c r="AE202" s="233"/>
      <c r="AF202" s="233"/>
      <c r="AG202" s="233"/>
      <c r="AH202" s="233"/>
      <c r="AI202" s="233"/>
      <c r="AJ202" s="233"/>
      <c r="AK202" s="233"/>
      <c r="AL202" s="233"/>
      <c r="AM202" s="233"/>
      <c r="AN202" s="233"/>
      <c r="AO202" s="233"/>
      <c r="AP202" s="233"/>
      <c r="AQ202" s="233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36"/>
      <c r="BJ202" s="408"/>
      <c r="BK202" s="408"/>
      <c r="BL202" s="408"/>
      <c r="BM202" s="408"/>
      <c r="BN202" s="233"/>
      <c r="BO202" s="233"/>
      <c r="BP202" s="233"/>
      <c r="BQ202" s="233"/>
      <c r="BR202" s="233"/>
      <c r="BS202" s="233"/>
      <c r="BT202" s="233"/>
      <c r="BU202" s="233"/>
      <c r="BV202" s="233"/>
      <c r="BW202" s="233"/>
      <c r="BX202" s="233"/>
      <c r="BY202" s="233"/>
      <c r="BZ202" s="29"/>
      <c r="CG202" s="29"/>
      <c r="CH202" s="29"/>
      <c r="CI202" s="29"/>
      <c r="CJ202" s="29"/>
      <c r="CK202" s="29"/>
      <c r="CL202" s="29"/>
      <c r="CM202" s="233"/>
      <c r="CN202" s="233"/>
      <c r="CO202" s="233"/>
      <c r="CP202" s="233"/>
      <c r="CQ202" s="233"/>
      <c r="CR202" s="233"/>
      <c r="CS202" s="233"/>
      <c r="CT202" s="233"/>
      <c r="CU202" s="233"/>
      <c r="CV202" s="233"/>
      <c r="CW202" s="233"/>
      <c r="CX202" s="233"/>
      <c r="CY202" s="233"/>
      <c r="CZ202" s="233"/>
      <c r="DA202" s="233"/>
      <c r="DB202" s="233"/>
      <c r="DC202" s="233"/>
      <c r="DD202" s="233"/>
    </row>
    <row r="203" spans="1:168" ht="15" customHeight="1" x14ac:dyDescent="0.25">
      <c r="A203" s="233"/>
      <c r="B203" s="233"/>
      <c r="C203" s="233"/>
      <c r="D203" s="233"/>
      <c r="E203" s="233"/>
      <c r="F203" s="233"/>
      <c r="G203" s="233"/>
      <c r="H203" s="233"/>
      <c r="I203" s="233"/>
      <c r="J203" s="233"/>
      <c r="K203" s="233"/>
      <c r="L203" s="233"/>
      <c r="M203" s="233"/>
      <c r="N203" s="233"/>
      <c r="O203" s="233"/>
      <c r="P203" s="233"/>
      <c r="Q203" s="233"/>
      <c r="R203" s="233"/>
      <c r="S203" s="233"/>
      <c r="T203" s="233"/>
      <c r="U203" s="233"/>
      <c r="V203" s="233"/>
      <c r="W203" s="233"/>
      <c r="X203" s="233"/>
      <c r="Y203" s="233"/>
      <c r="Z203" s="233"/>
      <c r="AA203" s="233"/>
      <c r="AB203" s="233"/>
      <c r="AC203" s="233"/>
      <c r="AD203" s="233"/>
      <c r="AE203" s="233"/>
      <c r="AF203" s="233"/>
      <c r="AG203" s="233"/>
      <c r="AH203" s="233"/>
      <c r="AI203" s="233"/>
      <c r="AJ203" s="233"/>
      <c r="AK203" s="233"/>
      <c r="AL203" s="233"/>
      <c r="AM203" s="233"/>
      <c r="AN203" s="233"/>
      <c r="AO203" s="233"/>
      <c r="AP203" s="233"/>
      <c r="AQ203" s="233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36"/>
      <c r="BJ203" s="408"/>
      <c r="BK203" s="408"/>
      <c r="BL203" s="408"/>
      <c r="BM203" s="408"/>
      <c r="BN203" s="233"/>
      <c r="BO203" s="233"/>
      <c r="BP203" s="233"/>
      <c r="BQ203" s="233"/>
      <c r="BR203" s="233"/>
      <c r="BS203" s="233"/>
      <c r="BT203" s="233"/>
      <c r="BU203" s="233"/>
      <c r="BV203" s="233"/>
      <c r="BW203" s="233"/>
      <c r="BX203" s="233"/>
      <c r="BY203" s="233"/>
      <c r="BZ203" s="29"/>
      <c r="CG203" s="29"/>
      <c r="CH203" s="29"/>
      <c r="CI203" s="29"/>
      <c r="CJ203" s="29"/>
      <c r="CK203" s="29"/>
      <c r="CL203" s="29"/>
      <c r="CM203" s="233"/>
      <c r="CN203" s="233"/>
      <c r="CO203" s="233"/>
      <c r="CP203" s="233"/>
      <c r="CQ203" s="233"/>
      <c r="CR203" s="233"/>
      <c r="CS203" s="233"/>
      <c r="CT203" s="233"/>
      <c r="CU203" s="233"/>
      <c r="CV203" s="233"/>
      <c r="CW203" s="233"/>
      <c r="CX203" s="233"/>
      <c r="CY203" s="233"/>
      <c r="CZ203" s="233"/>
      <c r="DA203" s="233"/>
      <c r="DB203" s="233"/>
      <c r="DC203" s="233"/>
      <c r="DD203" s="233"/>
    </row>
    <row r="204" spans="1:168" x14ac:dyDescent="0.25">
      <c r="A204" s="233"/>
      <c r="B204" s="233"/>
      <c r="C204" s="233"/>
      <c r="D204" s="233"/>
      <c r="E204" s="233"/>
      <c r="F204" s="233"/>
      <c r="G204" s="233"/>
      <c r="H204" s="233"/>
      <c r="I204" s="233"/>
      <c r="J204" s="233"/>
      <c r="K204" s="233"/>
      <c r="L204" s="233"/>
      <c r="M204" s="233"/>
      <c r="N204" s="233"/>
      <c r="O204" s="233"/>
      <c r="P204" s="233"/>
      <c r="Q204" s="233"/>
      <c r="R204" s="233"/>
      <c r="S204" s="233"/>
      <c r="T204" s="233"/>
      <c r="U204" s="233"/>
      <c r="V204" s="233"/>
      <c r="W204" s="233"/>
      <c r="X204" s="233"/>
      <c r="Y204" s="233"/>
      <c r="Z204" s="233"/>
      <c r="AA204" s="233"/>
      <c r="AB204" s="233"/>
      <c r="AC204" s="233"/>
      <c r="AD204" s="233"/>
      <c r="AE204" s="233"/>
      <c r="AF204" s="233"/>
      <c r="AG204" s="233"/>
      <c r="AH204" s="233"/>
      <c r="AI204" s="233"/>
      <c r="AJ204" s="233"/>
      <c r="AK204" s="233"/>
      <c r="AL204" s="233"/>
      <c r="AM204" s="233"/>
      <c r="AN204" s="233"/>
      <c r="AO204" s="233"/>
      <c r="AP204" s="233"/>
      <c r="AQ204" s="233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36"/>
      <c r="BJ204" s="408"/>
      <c r="BK204" s="408"/>
      <c r="BL204" s="408"/>
      <c r="BM204" s="408"/>
      <c r="BN204" s="233"/>
      <c r="BO204" s="233"/>
      <c r="BP204" s="233"/>
      <c r="BQ204" s="233"/>
      <c r="BR204" s="233"/>
      <c r="BS204" s="233"/>
      <c r="BT204" s="233"/>
      <c r="BU204" s="233"/>
      <c r="BV204" s="233"/>
      <c r="BW204" s="233"/>
      <c r="BX204" s="233"/>
      <c r="BY204" s="233"/>
      <c r="BZ204" s="29"/>
      <c r="CG204" s="29"/>
      <c r="CH204" s="29"/>
      <c r="CI204" s="29"/>
      <c r="CJ204" s="29"/>
      <c r="CK204" s="29"/>
      <c r="CL204" s="29"/>
      <c r="CM204" s="233"/>
      <c r="CN204" s="233"/>
      <c r="CO204" s="233"/>
      <c r="CP204" s="233"/>
      <c r="CQ204" s="233"/>
      <c r="CR204" s="233"/>
      <c r="CS204" s="233"/>
      <c r="CT204" s="233"/>
      <c r="CU204" s="233"/>
      <c r="CV204" s="233"/>
      <c r="CW204" s="233"/>
      <c r="CX204" s="233"/>
      <c r="CY204" s="233"/>
      <c r="CZ204" s="233"/>
      <c r="DA204" s="233"/>
      <c r="DB204" s="233"/>
      <c r="DC204" s="233"/>
      <c r="DD204" s="233"/>
    </row>
    <row r="205" spans="1:168" x14ac:dyDescent="0.25">
      <c r="A205" s="233"/>
      <c r="B205" s="233"/>
      <c r="C205" s="233"/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Q205" s="233"/>
      <c r="R205" s="233"/>
      <c r="S205" s="233"/>
      <c r="T205" s="233"/>
      <c r="U205" s="233"/>
      <c r="V205" s="233"/>
      <c r="W205" s="233"/>
      <c r="X205" s="233"/>
      <c r="Y205" s="233"/>
      <c r="Z205" s="233"/>
      <c r="AA205" s="233"/>
      <c r="AB205" s="233"/>
      <c r="AC205" s="233"/>
      <c r="AD205" s="233"/>
      <c r="AE205" s="233"/>
      <c r="AF205" s="233"/>
      <c r="AG205" s="233"/>
      <c r="AH205" s="233"/>
      <c r="AI205" s="233"/>
      <c r="AJ205" s="233"/>
      <c r="AK205" s="233"/>
      <c r="AL205" s="233"/>
      <c r="AM205" s="233"/>
      <c r="AN205" s="233"/>
      <c r="AO205" s="233"/>
      <c r="AP205" s="233"/>
      <c r="AQ205" s="233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36"/>
      <c r="BJ205" s="408"/>
      <c r="BK205" s="408"/>
      <c r="BL205" s="408"/>
      <c r="BM205" s="408"/>
      <c r="BN205" s="233"/>
      <c r="BO205" s="233"/>
      <c r="BP205" s="233"/>
      <c r="BQ205" s="233"/>
      <c r="BR205" s="233"/>
      <c r="BS205" s="233"/>
      <c r="BT205" s="233"/>
      <c r="BU205" s="233"/>
      <c r="BV205" s="233"/>
      <c r="BW205" s="233"/>
      <c r="BX205" s="233"/>
      <c r="BY205" s="233"/>
      <c r="BZ205" s="29"/>
      <c r="CG205" s="29"/>
      <c r="CH205" s="29"/>
      <c r="CI205" s="29"/>
      <c r="CJ205" s="29"/>
      <c r="CK205" s="29"/>
      <c r="CL205" s="29"/>
      <c r="CM205" s="233"/>
      <c r="CN205" s="233"/>
      <c r="CO205" s="233"/>
      <c r="CP205" s="233"/>
      <c r="CQ205" s="233"/>
      <c r="CR205" s="233"/>
      <c r="CS205" s="233"/>
      <c r="CT205" s="233"/>
      <c r="CU205" s="233"/>
      <c r="CV205" s="233"/>
      <c r="CW205" s="233"/>
      <c r="CX205" s="233"/>
      <c r="CY205" s="233"/>
      <c r="CZ205" s="233"/>
      <c r="DA205" s="233"/>
      <c r="DB205" s="233"/>
      <c r="DC205" s="233"/>
      <c r="DD205" s="233"/>
    </row>
    <row r="206" spans="1:168" x14ac:dyDescent="0.25">
      <c r="A206" s="233"/>
      <c r="B206" s="233"/>
      <c r="C206" s="233"/>
      <c r="D206" s="233"/>
      <c r="E206" s="233"/>
      <c r="F206" s="233"/>
      <c r="G206" s="233"/>
      <c r="H206" s="233"/>
      <c r="I206" s="233"/>
      <c r="J206" s="233"/>
      <c r="K206" s="233"/>
      <c r="L206" s="233"/>
      <c r="M206" s="233"/>
      <c r="N206" s="233"/>
      <c r="O206" s="233"/>
      <c r="P206" s="233"/>
      <c r="Q206" s="233"/>
      <c r="R206" s="233"/>
      <c r="S206" s="233"/>
      <c r="T206" s="233"/>
      <c r="U206" s="233"/>
      <c r="V206" s="233"/>
      <c r="W206" s="233"/>
      <c r="X206" s="233"/>
      <c r="Y206" s="233"/>
      <c r="Z206" s="233"/>
      <c r="AA206" s="233"/>
      <c r="AB206" s="233"/>
      <c r="AC206" s="233"/>
      <c r="AD206" s="233"/>
      <c r="AE206" s="233"/>
      <c r="AF206" s="233"/>
      <c r="AG206" s="233"/>
      <c r="AH206" s="233"/>
      <c r="AI206" s="233"/>
      <c r="AJ206" s="233"/>
      <c r="AK206" s="233"/>
      <c r="AL206" s="233"/>
      <c r="AM206" s="233"/>
      <c r="AN206" s="233"/>
      <c r="AO206" s="233"/>
      <c r="AP206" s="233"/>
      <c r="AQ206" s="233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36"/>
      <c r="BJ206" s="408"/>
      <c r="BK206" s="408"/>
      <c r="BL206" s="408"/>
      <c r="BM206" s="408"/>
      <c r="BN206" s="233"/>
      <c r="BO206" s="233"/>
      <c r="BP206" s="233"/>
      <c r="BQ206" s="233"/>
      <c r="BR206" s="233"/>
      <c r="BS206" s="233"/>
      <c r="BT206" s="233"/>
      <c r="BU206" s="233"/>
      <c r="BV206" s="233"/>
      <c r="BW206" s="233"/>
      <c r="BX206" s="233"/>
      <c r="BY206" s="233"/>
      <c r="BZ206" s="29"/>
      <c r="CG206" s="29"/>
      <c r="CH206" s="29"/>
      <c r="CI206" s="29"/>
      <c r="CJ206" s="29"/>
      <c r="CK206" s="29"/>
      <c r="CL206" s="29"/>
      <c r="CM206" s="233"/>
      <c r="CN206" s="233"/>
      <c r="CO206" s="233"/>
      <c r="CP206" s="233"/>
      <c r="CQ206" s="233"/>
      <c r="CR206" s="233"/>
      <c r="CS206" s="233"/>
      <c r="CT206" s="233"/>
      <c r="CU206" s="233"/>
      <c r="CV206" s="233"/>
      <c r="CW206" s="233"/>
      <c r="CX206" s="233"/>
      <c r="CY206" s="233"/>
      <c r="CZ206" s="233"/>
      <c r="DA206" s="233"/>
      <c r="DB206" s="233"/>
      <c r="DC206" s="233"/>
      <c r="DD206" s="233"/>
    </row>
    <row r="207" spans="1:168" x14ac:dyDescent="0.25">
      <c r="A207" s="233"/>
      <c r="B207" s="233"/>
      <c r="C207" s="233"/>
      <c r="D207" s="233"/>
      <c r="E207" s="233"/>
      <c r="F207" s="233"/>
      <c r="G207" s="233"/>
      <c r="H207" s="233"/>
      <c r="I207" s="233"/>
      <c r="J207" s="233"/>
      <c r="K207" s="233"/>
      <c r="L207" s="233"/>
      <c r="M207" s="233"/>
      <c r="N207" s="233"/>
      <c r="O207" s="233"/>
      <c r="P207" s="233"/>
      <c r="Q207" s="233"/>
      <c r="R207" s="233"/>
      <c r="S207" s="233"/>
      <c r="T207" s="233"/>
      <c r="U207" s="233"/>
      <c r="V207" s="233"/>
      <c r="W207" s="233"/>
      <c r="X207" s="233"/>
      <c r="Y207" s="233"/>
      <c r="Z207" s="233"/>
      <c r="AA207" s="233"/>
      <c r="AB207" s="233"/>
      <c r="AC207" s="233"/>
      <c r="AD207" s="233"/>
      <c r="AE207" s="233"/>
      <c r="AF207" s="233"/>
      <c r="AG207" s="233"/>
      <c r="AH207" s="233"/>
      <c r="AI207" s="233"/>
      <c r="AJ207" s="233"/>
      <c r="AK207" s="233"/>
      <c r="AL207" s="233"/>
      <c r="AM207" s="233"/>
      <c r="AN207" s="233"/>
      <c r="AO207" s="233"/>
      <c r="AP207" s="233"/>
      <c r="AQ207" s="233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36"/>
      <c r="BJ207" s="408"/>
      <c r="BK207" s="408"/>
      <c r="BL207" s="408"/>
      <c r="BM207" s="408"/>
      <c r="BN207" s="233"/>
      <c r="BO207" s="233"/>
      <c r="BP207" s="233"/>
      <c r="BQ207" s="233"/>
      <c r="BR207" s="233"/>
      <c r="BS207" s="233"/>
      <c r="BT207" s="233"/>
      <c r="BU207" s="233"/>
      <c r="BV207" s="233"/>
      <c r="BW207" s="233"/>
      <c r="BX207" s="233"/>
      <c r="BY207" s="233"/>
      <c r="BZ207" s="29"/>
      <c r="CG207" s="29"/>
      <c r="CH207" s="29"/>
      <c r="CI207" s="29"/>
      <c r="CJ207" s="29"/>
      <c r="CK207" s="29"/>
      <c r="CL207" s="29"/>
      <c r="CM207" s="233"/>
      <c r="CN207" s="233"/>
      <c r="CO207" s="233"/>
      <c r="CP207" s="233"/>
      <c r="CQ207" s="233"/>
      <c r="CR207" s="233"/>
      <c r="CS207" s="233"/>
      <c r="CT207" s="233"/>
      <c r="CU207" s="233"/>
      <c r="CV207" s="233"/>
      <c r="CW207" s="233"/>
      <c r="CX207" s="233"/>
      <c r="CY207" s="233"/>
      <c r="CZ207" s="233"/>
      <c r="DA207" s="233"/>
      <c r="DB207" s="233"/>
      <c r="DC207" s="233"/>
      <c r="DD207" s="233"/>
    </row>
    <row r="208" spans="1:168" x14ac:dyDescent="0.25">
      <c r="A208" s="233"/>
      <c r="B208" s="233"/>
      <c r="C208" s="233"/>
      <c r="D208" s="233"/>
      <c r="E208" s="233"/>
      <c r="F208" s="233"/>
      <c r="G208" s="233"/>
      <c r="H208" s="233"/>
      <c r="I208" s="233"/>
      <c r="J208" s="233"/>
      <c r="K208" s="233"/>
      <c r="L208" s="233"/>
      <c r="M208" s="233"/>
      <c r="N208" s="233"/>
      <c r="O208" s="233"/>
      <c r="P208" s="233"/>
      <c r="Q208" s="233"/>
      <c r="R208" s="233"/>
      <c r="S208" s="233"/>
      <c r="T208" s="233"/>
      <c r="U208" s="233"/>
      <c r="V208" s="233"/>
      <c r="W208" s="233"/>
      <c r="X208" s="233"/>
      <c r="Y208" s="233"/>
      <c r="Z208" s="233"/>
      <c r="AA208" s="233"/>
      <c r="AB208" s="233"/>
      <c r="AC208" s="233"/>
      <c r="AD208" s="233"/>
      <c r="AE208" s="233"/>
      <c r="AF208" s="233"/>
      <c r="AG208" s="233"/>
      <c r="AH208" s="233"/>
      <c r="AI208" s="233"/>
      <c r="AJ208" s="233"/>
      <c r="AK208" s="233"/>
      <c r="AL208" s="233"/>
      <c r="AM208" s="233"/>
      <c r="AN208" s="233"/>
      <c r="AO208" s="233"/>
      <c r="AP208" s="233"/>
      <c r="AQ208" s="233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36"/>
      <c r="BJ208" s="408"/>
      <c r="BK208" s="408"/>
      <c r="BL208" s="408"/>
      <c r="BM208" s="408"/>
      <c r="BN208" s="233"/>
      <c r="BO208" s="233"/>
      <c r="BP208" s="233"/>
      <c r="BQ208" s="233"/>
      <c r="BR208" s="233"/>
      <c r="BS208" s="233"/>
      <c r="BT208" s="233"/>
      <c r="BU208" s="233"/>
      <c r="BV208" s="233"/>
      <c r="BW208" s="233"/>
      <c r="BX208" s="233"/>
      <c r="BY208" s="233"/>
      <c r="BZ208" s="29"/>
      <c r="CG208" s="29"/>
      <c r="CH208" s="29"/>
      <c r="CI208" s="29"/>
      <c r="CJ208" s="29"/>
      <c r="CK208" s="29"/>
      <c r="CL208" s="29"/>
      <c r="CM208" s="233"/>
      <c r="CN208" s="233"/>
      <c r="CO208" s="233"/>
      <c r="CP208" s="233"/>
      <c r="CQ208" s="233"/>
      <c r="CR208" s="233"/>
      <c r="CS208" s="233"/>
      <c r="CT208" s="233"/>
      <c r="CU208" s="233"/>
      <c r="CV208" s="233"/>
      <c r="CW208" s="233"/>
      <c r="CX208" s="233"/>
      <c r="CY208" s="233"/>
      <c r="CZ208" s="233"/>
      <c r="DA208" s="233"/>
      <c r="DB208" s="233"/>
      <c r="DC208" s="233"/>
      <c r="DD208" s="233"/>
    </row>
    <row r="209" spans="1:131" x14ac:dyDescent="0.25">
      <c r="A209" s="233"/>
      <c r="B209" s="233"/>
      <c r="C209" s="233"/>
      <c r="D209" s="233"/>
      <c r="E209" s="233"/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33"/>
      <c r="T209" s="233"/>
      <c r="U209" s="233"/>
      <c r="V209" s="233"/>
      <c r="W209" s="233"/>
      <c r="X209" s="233"/>
      <c r="Y209" s="233"/>
      <c r="Z209" s="233"/>
      <c r="AA209" s="233"/>
      <c r="AB209" s="233"/>
      <c r="AC209" s="233"/>
      <c r="AD209" s="233"/>
      <c r="AE209" s="233"/>
      <c r="AF209" s="233"/>
      <c r="AG209" s="233"/>
      <c r="AH209" s="233"/>
      <c r="AI209" s="233"/>
      <c r="AJ209" s="233"/>
      <c r="AK209" s="233"/>
      <c r="AL209" s="233"/>
      <c r="AM209" s="233"/>
      <c r="AN209" s="233"/>
      <c r="AO209" s="233"/>
      <c r="AP209" s="233"/>
      <c r="AQ209" s="233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36"/>
      <c r="BJ209" s="408"/>
      <c r="BK209" s="408"/>
      <c r="BL209" s="408"/>
      <c r="BM209" s="408"/>
      <c r="BN209" s="233"/>
      <c r="BO209" s="233"/>
      <c r="BP209" s="233"/>
      <c r="BQ209" s="233"/>
      <c r="BR209" s="233"/>
      <c r="BS209" s="233"/>
      <c r="BT209" s="233"/>
      <c r="BU209" s="233"/>
      <c r="BV209" s="233"/>
      <c r="BW209" s="233"/>
      <c r="BX209" s="233"/>
      <c r="BY209" s="233"/>
      <c r="BZ209" s="29"/>
      <c r="CG209" s="29"/>
      <c r="CH209" s="29"/>
      <c r="CI209" s="29"/>
      <c r="CJ209" s="29"/>
      <c r="CK209" s="29"/>
      <c r="CL209" s="29"/>
      <c r="CM209" s="233"/>
      <c r="CN209" s="233"/>
      <c r="CO209" s="233"/>
      <c r="CP209" s="233"/>
      <c r="CQ209" s="233"/>
      <c r="CR209" s="233"/>
      <c r="CS209" s="233"/>
      <c r="CT209" s="233"/>
      <c r="CU209" s="233"/>
      <c r="CV209" s="233"/>
      <c r="CW209" s="233"/>
      <c r="CX209" s="233"/>
      <c r="CY209" s="233"/>
      <c r="CZ209" s="233"/>
      <c r="DA209" s="233"/>
      <c r="DB209" s="233"/>
      <c r="DC209" s="233"/>
      <c r="DD209" s="233"/>
    </row>
    <row r="210" spans="1:131" x14ac:dyDescent="0.25">
      <c r="A210" s="233"/>
      <c r="B210" s="233"/>
      <c r="C210" s="233"/>
      <c r="D210" s="233"/>
      <c r="E210" s="233"/>
      <c r="F210" s="233"/>
      <c r="G210" s="233"/>
      <c r="H210" s="233"/>
      <c r="I210" s="233"/>
      <c r="J210" s="233"/>
      <c r="K210" s="233"/>
      <c r="L210" s="233"/>
      <c r="M210" s="233"/>
      <c r="N210" s="233"/>
      <c r="O210" s="233"/>
      <c r="P210" s="233"/>
      <c r="Q210" s="233"/>
      <c r="R210" s="233"/>
      <c r="S210" s="233"/>
      <c r="T210" s="233"/>
      <c r="U210" s="233"/>
      <c r="V210" s="233"/>
      <c r="W210" s="233"/>
      <c r="X210" s="233"/>
      <c r="Y210" s="233"/>
      <c r="Z210" s="233"/>
      <c r="AA210" s="233"/>
      <c r="AB210" s="233"/>
      <c r="AC210" s="233"/>
      <c r="AD210" s="233"/>
      <c r="AE210" s="233"/>
      <c r="AF210" s="233"/>
      <c r="AG210" s="233"/>
      <c r="AH210" s="233"/>
      <c r="AI210" s="233"/>
      <c r="AJ210" s="233"/>
      <c r="AK210" s="233"/>
      <c r="AL210" s="233"/>
      <c r="AM210" s="233"/>
      <c r="AN210" s="233"/>
      <c r="AO210" s="233"/>
      <c r="AP210" s="233"/>
      <c r="AQ210" s="233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36"/>
      <c r="BJ210" s="408"/>
      <c r="BK210" s="408"/>
      <c r="BL210" s="408"/>
      <c r="BM210" s="408"/>
      <c r="BN210" s="233"/>
      <c r="BO210" s="233"/>
      <c r="BP210" s="233"/>
      <c r="BQ210" s="233"/>
      <c r="BR210" s="233"/>
      <c r="BS210" s="233"/>
      <c r="BT210" s="233"/>
      <c r="BU210" s="233"/>
      <c r="BV210" s="233"/>
      <c r="BW210" s="233"/>
      <c r="BX210" s="233"/>
      <c r="BY210" s="233"/>
      <c r="BZ210" s="29"/>
      <c r="CG210" s="29"/>
      <c r="CH210" s="29"/>
      <c r="CI210" s="29"/>
      <c r="CJ210" s="29"/>
      <c r="CK210" s="29"/>
      <c r="CL210" s="29"/>
      <c r="CM210" s="233"/>
      <c r="CN210" s="233"/>
      <c r="CO210" s="233"/>
      <c r="CP210" s="233"/>
      <c r="CQ210" s="233"/>
      <c r="CR210" s="233"/>
      <c r="CS210" s="233"/>
      <c r="CT210" s="233"/>
      <c r="CU210" s="233"/>
      <c r="CV210" s="233"/>
      <c r="CW210" s="233"/>
      <c r="CX210" s="233"/>
      <c r="CY210" s="233"/>
      <c r="CZ210" s="233"/>
      <c r="DA210" s="233"/>
      <c r="DB210" s="233"/>
      <c r="DC210" s="233"/>
      <c r="DD210" s="233"/>
    </row>
    <row r="211" spans="1:131" x14ac:dyDescent="0.25">
      <c r="A211" s="233"/>
      <c r="B211" s="233"/>
      <c r="C211" s="233"/>
      <c r="D211" s="233"/>
      <c r="E211" s="233"/>
      <c r="F211" s="233"/>
      <c r="G211" s="233"/>
      <c r="H211" s="233"/>
      <c r="I211" s="233"/>
      <c r="J211" s="233"/>
      <c r="K211" s="233"/>
      <c r="L211" s="233"/>
      <c r="M211" s="233"/>
      <c r="N211" s="233"/>
      <c r="O211" s="233"/>
      <c r="P211" s="233"/>
      <c r="Q211" s="233"/>
      <c r="R211" s="233"/>
      <c r="S211" s="233"/>
      <c r="T211" s="233"/>
      <c r="U211" s="233"/>
      <c r="V211" s="233"/>
      <c r="W211" s="233"/>
      <c r="X211" s="233"/>
      <c r="Y211" s="233"/>
      <c r="Z211" s="233"/>
      <c r="AA211" s="233"/>
      <c r="AB211" s="233"/>
      <c r="AC211" s="233"/>
      <c r="AD211" s="233"/>
      <c r="AE211" s="233"/>
      <c r="AF211" s="233"/>
      <c r="AG211" s="233"/>
      <c r="AH211" s="233"/>
      <c r="AI211" s="233"/>
      <c r="AJ211" s="233"/>
      <c r="AK211" s="233"/>
      <c r="AL211" s="233"/>
      <c r="AM211" s="233"/>
      <c r="AN211" s="233"/>
      <c r="AO211" s="233"/>
      <c r="AP211" s="233"/>
      <c r="AQ211" s="233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36"/>
      <c r="BJ211" s="408"/>
      <c r="BK211" s="408"/>
      <c r="BL211" s="408"/>
      <c r="BM211" s="408"/>
      <c r="BN211" s="233"/>
      <c r="BO211" s="233"/>
      <c r="BP211" s="233"/>
      <c r="BQ211" s="233"/>
      <c r="BR211" s="233"/>
      <c r="BS211" s="233"/>
      <c r="BT211" s="233"/>
      <c r="BU211" s="233"/>
      <c r="BV211" s="233"/>
      <c r="BW211" s="233"/>
      <c r="BX211" s="233"/>
      <c r="BY211" s="233"/>
      <c r="BZ211" s="29"/>
      <c r="CG211" s="29"/>
      <c r="CH211" s="29"/>
      <c r="CI211" s="29"/>
      <c r="CJ211" s="29"/>
      <c r="CK211" s="29"/>
      <c r="CL211" s="29"/>
      <c r="CM211" s="233"/>
      <c r="CN211" s="233"/>
      <c r="CO211" s="233"/>
      <c r="CP211" s="233"/>
      <c r="CQ211" s="233"/>
      <c r="CR211" s="233"/>
      <c r="CS211" s="233"/>
      <c r="CT211" s="233"/>
      <c r="CU211" s="233"/>
      <c r="CV211" s="233"/>
      <c r="CW211" s="233"/>
      <c r="CX211" s="233"/>
      <c r="CY211" s="233"/>
      <c r="CZ211" s="233"/>
      <c r="DA211" s="233"/>
      <c r="DB211" s="233"/>
      <c r="DC211" s="233"/>
      <c r="DD211" s="233"/>
    </row>
    <row r="212" spans="1:131" x14ac:dyDescent="0.25">
      <c r="A212" s="233"/>
      <c r="B212" s="233"/>
      <c r="C212" s="233"/>
      <c r="D212" s="233"/>
      <c r="E212" s="233"/>
      <c r="F212" s="233"/>
      <c r="G212" s="233"/>
      <c r="H212" s="233"/>
      <c r="I212" s="233"/>
      <c r="J212" s="233"/>
      <c r="K212" s="233"/>
      <c r="L212" s="233"/>
      <c r="M212" s="233"/>
      <c r="N212" s="233"/>
      <c r="O212" s="233"/>
      <c r="P212" s="233"/>
      <c r="Q212" s="233"/>
      <c r="R212" s="233"/>
      <c r="S212" s="233"/>
      <c r="T212" s="233"/>
      <c r="U212" s="233"/>
      <c r="V212" s="233"/>
      <c r="W212" s="233"/>
      <c r="X212" s="233"/>
      <c r="Y212" s="233"/>
      <c r="Z212" s="233"/>
      <c r="AA212" s="233"/>
      <c r="AB212" s="233"/>
      <c r="AC212" s="233"/>
      <c r="AD212" s="233"/>
      <c r="AE212" s="233"/>
      <c r="AF212" s="233"/>
      <c r="AG212" s="233"/>
      <c r="AH212" s="233"/>
      <c r="AI212" s="233"/>
      <c r="AJ212" s="233"/>
      <c r="AK212" s="233"/>
      <c r="AL212" s="233"/>
      <c r="AM212" s="233"/>
      <c r="AN212" s="233"/>
      <c r="AO212" s="233"/>
      <c r="AP212" s="233"/>
      <c r="AQ212" s="233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36"/>
      <c r="BJ212" s="408"/>
      <c r="BK212" s="408"/>
      <c r="BL212" s="408"/>
      <c r="BM212" s="408"/>
      <c r="BN212" s="233"/>
      <c r="BO212" s="233"/>
      <c r="BP212" s="233"/>
      <c r="BQ212" s="233"/>
      <c r="BR212" s="233"/>
      <c r="BS212" s="233"/>
      <c r="BT212" s="233"/>
      <c r="BU212" s="233"/>
      <c r="BV212" s="233"/>
      <c r="BW212" s="233"/>
      <c r="BX212" s="233"/>
      <c r="BY212" s="233"/>
      <c r="BZ212" s="29"/>
      <c r="CG212" s="29"/>
      <c r="CH212" s="29"/>
      <c r="CI212" s="29"/>
      <c r="CJ212" s="29"/>
      <c r="CK212" s="29"/>
      <c r="CL212" s="29"/>
      <c r="CM212" s="233"/>
      <c r="CN212" s="233"/>
      <c r="CO212" s="233"/>
      <c r="CP212" s="233"/>
      <c r="CQ212" s="233"/>
      <c r="CR212" s="233"/>
      <c r="CS212" s="233"/>
      <c r="CT212" s="233"/>
      <c r="CU212" s="233"/>
      <c r="CV212" s="233"/>
      <c r="CW212" s="233"/>
      <c r="CX212" s="233"/>
      <c r="CY212" s="233"/>
      <c r="CZ212" s="233"/>
      <c r="DA212" s="233"/>
      <c r="DB212" s="233"/>
      <c r="DC212" s="233"/>
      <c r="DD212" s="233"/>
    </row>
    <row r="213" spans="1:131" x14ac:dyDescent="0.25">
      <c r="A213" s="233"/>
      <c r="B213" s="233"/>
      <c r="C213" s="233"/>
      <c r="D213" s="233"/>
      <c r="E213" s="233"/>
      <c r="F213" s="233"/>
      <c r="G213" s="233"/>
      <c r="H213" s="233"/>
      <c r="I213" s="233"/>
      <c r="J213" s="233"/>
      <c r="K213" s="233"/>
      <c r="L213" s="233"/>
      <c r="M213" s="233"/>
      <c r="N213" s="233"/>
      <c r="O213" s="233"/>
      <c r="P213" s="233"/>
      <c r="Q213" s="233"/>
      <c r="R213" s="233"/>
      <c r="S213" s="233"/>
      <c r="T213" s="233"/>
      <c r="U213" s="233"/>
      <c r="V213" s="233"/>
      <c r="W213" s="233"/>
      <c r="X213" s="233"/>
      <c r="Y213" s="233"/>
      <c r="Z213" s="233"/>
      <c r="AA213" s="233"/>
      <c r="AB213" s="233"/>
      <c r="AC213" s="233"/>
      <c r="AD213" s="233"/>
      <c r="AE213" s="233"/>
      <c r="AF213" s="233"/>
      <c r="AG213" s="233"/>
      <c r="AH213" s="233"/>
      <c r="AI213" s="233"/>
      <c r="AJ213" s="233"/>
      <c r="AK213" s="233"/>
      <c r="AL213" s="233"/>
      <c r="AM213" s="233"/>
      <c r="AN213" s="233"/>
      <c r="AO213" s="233"/>
      <c r="AP213" s="233"/>
      <c r="AQ213" s="233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36"/>
      <c r="BJ213" s="408"/>
      <c r="BK213" s="408"/>
      <c r="BL213" s="408"/>
      <c r="BM213" s="408"/>
      <c r="BN213" s="233"/>
      <c r="BO213" s="233"/>
      <c r="BP213" s="233"/>
      <c r="BQ213" s="233"/>
      <c r="BR213" s="233"/>
      <c r="BS213" s="233"/>
      <c r="BT213" s="233"/>
      <c r="BU213" s="233"/>
      <c r="BV213" s="233"/>
      <c r="BW213" s="233"/>
      <c r="BX213" s="233"/>
      <c r="BY213" s="233"/>
      <c r="BZ213" s="29"/>
      <c r="CG213" s="29"/>
      <c r="CH213" s="29"/>
      <c r="CI213" s="29"/>
      <c r="CJ213" s="29"/>
      <c r="CK213" s="29"/>
      <c r="CL213" s="29"/>
      <c r="CM213" s="233"/>
      <c r="CN213" s="233"/>
      <c r="CO213" s="233"/>
      <c r="CP213" s="233"/>
      <c r="CQ213" s="233"/>
      <c r="CR213" s="233"/>
      <c r="CS213" s="233"/>
      <c r="CT213" s="233"/>
      <c r="CU213" s="233"/>
      <c r="CV213" s="233"/>
      <c r="CW213" s="233"/>
      <c r="CX213" s="233"/>
      <c r="CY213" s="233"/>
      <c r="CZ213" s="233"/>
      <c r="DA213" s="233"/>
      <c r="DB213" s="233"/>
      <c r="DC213" s="233"/>
      <c r="DD213" s="233"/>
    </row>
    <row r="214" spans="1:131" x14ac:dyDescent="0.25">
      <c r="A214" s="233"/>
      <c r="B214" s="233"/>
      <c r="C214" s="233"/>
      <c r="D214" s="233"/>
      <c r="E214" s="233"/>
      <c r="F214" s="233"/>
      <c r="G214" s="233"/>
      <c r="H214" s="233"/>
      <c r="I214" s="233"/>
      <c r="J214" s="233"/>
      <c r="K214" s="233"/>
      <c r="L214" s="233"/>
      <c r="M214" s="233"/>
      <c r="N214" s="233"/>
      <c r="O214" s="233"/>
      <c r="P214" s="233"/>
      <c r="Q214" s="233"/>
      <c r="R214" s="233"/>
      <c r="S214" s="233"/>
      <c r="T214" s="233"/>
      <c r="U214" s="233"/>
      <c r="V214" s="233"/>
      <c r="W214" s="233"/>
      <c r="X214" s="233"/>
      <c r="Y214" s="233"/>
      <c r="Z214" s="233"/>
      <c r="AA214" s="233"/>
      <c r="AB214" s="233"/>
      <c r="AC214" s="233"/>
      <c r="AD214" s="233"/>
      <c r="AE214" s="233"/>
      <c r="AF214" s="233"/>
      <c r="AG214" s="233"/>
      <c r="AH214" s="233"/>
      <c r="AI214" s="233"/>
      <c r="AJ214" s="233"/>
      <c r="AK214" s="233"/>
      <c r="AL214" s="233"/>
      <c r="AM214" s="233"/>
      <c r="AN214" s="233"/>
      <c r="AO214" s="233"/>
      <c r="AP214" s="233"/>
      <c r="AQ214" s="233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36"/>
      <c r="BJ214" s="408"/>
      <c r="BK214" s="408"/>
      <c r="BL214" s="408"/>
      <c r="BM214" s="408"/>
      <c r="BN214" s="233"/>
      <c r="BO214" s="233"/>
      <c r="BP214" s="233"/>
      <c r="BQ214" s="233"/>
      <c r="BR214" s="233"/>
      <c r="BS214" s="233"/>
      <c r="BT214" s="233"/>
      <c r="BU214" s="233"/>
      <c r="BV214" s="233"/>
      <c r="BW214" s="233"/>
      <c r="BX214" s="233"/>
      <c r="BY214" s="233"/>
      <c r="BZ214" s="29"/>
      <c r="CG214" s="29"/>
      <c r="CH214" s="29"/>
      <c r="CI214" s="29"/>
      <c r="CJ214" s="29"/>
      <c r="CK214" s="29"/>
      <c r="CL214" s="29"/>
      <c r="CM214" s="233"/>
      <c r="CN214" s="233"/>
      <c r="CO214" s="233"/>
      <c r="CP214" s="233"/>
      <c r="CQ214" s="233"/>
      <c r="CR214" s="233"/>
      <c r="CS214" s="233"/>
      <c r="CT214" s="233"/>
      <c r="CU214" s="233"/>
      <c r="CV214" s="233"/>
      <c r="CW214" s="233"/>
      <c r="CX214" s="233"/>
      <c r="CY214" s="233"/>
      <c r="CZ214" s="233"/>
      <c r="DA214" s="233"/>
      <c r="DB214" s="233"/>
      <c r="DC214" s="233"/>
      <c r="DD214" s="233"/>
    </row>
    <row r="215" spans="1:131" x14ac:dyDescent="0.25">
      <c r="A215" s="233"/>
      <c r="B215" s="233"/>
      <c r="C215" s="233"/>
      <c r="D215" s="233"/>
      <c r="E215" s="233"/>
      <c r="F215" s="233"/>
      <c r="G215" s="233"/>
      <c r="H215" s="233"/>
      <c r="I215" s="233"/>
      <c r="J215" s="233"/>
      <c r="K215" s="233"/>
      <c r="L215" s="233"/>
      <c r="M215" s="233"/>
      <c r="N215" s="233"/>
      <c r="O215" s="233"/>
      <c r="P215" s="233"/>
      <c r="Q215" s="233"/>
      <c r="R215" s="233"/>
      <c r="S215" s="233"/>
      <c r="T215" s="233"/>
      <c r="U215" s="233"/>
      <c r="V215" s="233"/>
      <c r="W215" s="233"/>
      <c r="X215" s="233"/>
      <c r="Y215" s="233"/>
      <c r="Z215" s="233"/>
      <c r="AA215" s="233"/>
      <c r="AB215" s="233"/>
      <c r="AC215" s="233"/>
      <c r="AD215" s="233"/>
      <c r="AE215" s="233"/>
      <c r="AF215" s="233"/>
      <c r="AG215" s="233"/>
      <c r="AH215" s="233"/>
      <c r="AI215" s="233"/>
      <c r="AJ215" s="233"/>
      <c r="AK215" s="233"/>
      <c r="AL215" s="233"/>
      <c r="AM215" s="233"/>
      <c r="AN215" s="233"/>
      <c r="AO215" s="233"/>
      <c r="AP215" s="233"/>
      <c r="AQ215" s="233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36"/>
      <c r="BJ215" s="408"/>
      <c r="BK215" s="408"/>
      <c r="BL215" s="408"/>
      <c r="BM215" s="408"/>
      <c r="BN215" s="233"/>
      <c r="BO215" s="233"/>
      <c r="BP215" s="233"/>
      <c r="BQ215" s="233"/>
      <c r="BR215" s="233"/>
      <c r="BS215" s="233"/>
      <c r="BT215" s="233"/>
      <c r="BU215" s="233"/>
      <c r="BV215" s="233"/>
      <c r="BW215" s="233"/>
      <c r="BX215" s="233"/>
      <c r="BY215" s="233"/>
      <c r="BZ215" s="29"/>
      <c r="CG215" s="29"/>
      <c r="CH215" s="29"/>
      <c r="CI215" s="29"/>
      <c r="CJ215" s="29"/>
      <c r="CK215" s="29"/>
      <c r="CL215" s="29"/>
      <c r="CM215" s="233"/>
      <c r="CN215" s="233"/>
      <c r="CO215" s="233"/>
      <c r="CP215" s="233"/>
      <c r="CQ215" s="233"/>
      <c r="CR215" s="233"/>
      <c r="CS215" s="233"/>
      <c r="CT215" s="233"/>
      <c r="CU215" s="233"/>
      <c r="CV215" s="233"/>
      <c r="CW215" s="233"/>
      <c r="CX215" s="233"/>
      <c r="CY215" s="233"/>
      <c r="CZ215" s="233"/>
      <c r="DA215" s="233"/>
      <c r="DB215" s="233"/>
      <c r="DC215" s="233"/>
      <c r="DD215" s="233"/>
      <c r="DS215" s="29"/>
      <c r="DT215" s="29"/>
      <c r="DU215" s="29"/>
      <c r="DV215" s="29"/>
      <c r="DW215" s="29"/>
      <c r="DX215" s="29"/>
      <c r="DY215" s="29"/>
      <c r="DZ215" s="29"/>
      <c r="EA215" s="29"/>
    </row>
    <row r="216" spans="1:131" x14ac:dyDescent="0.25">
      <c r="BG216" s="233"/>
      <c r="BH216" s="233"/>
      <c r="BI216" s="408"/>
      <c r="BJ216" s="408"/>
      <c r="BK216" s="408"/>
      <c r="BL216" s="408"/>
      <c r="BM216" s="408"/>
      <c r="BN216" s="233"/>
      <c r="BO216" s="233"/>
      <c r="BP216" s="233"/>
      <c r="BQ216" s="233"/>
      <c r="BR216" s="233"/>
      <c r="BS216" s="233"/>
      <c r="BT216" s="233"/>
      <c r="BU216" s="233"/>
      <c r="BV216" s="233"/>
      <c r="BW216" s="233"/>
      <c r="BX216" s="233"/>
      <c r="BY216" s="233"/>
      <c r="BZ216" s="29"/>
      <c r="CG216" s="29"/>
      <c r="CH216" s="29"/>
      <c r="CI216" s="29"/>
      <c r="CJ216" s="29"/>
      <c r="CK216" s="29"/>
      <c r="CL216" s="29"/>
      <c r="CM216" s="233"/>
      <c r="CN216" s="233"/>
      <c r="CO216" s="233"/>
      <c r="CP216" s="233"/>
      <c r="CQ216" s="233"/>
      <c r="CR216" s="233"/>
      <c r="CS216" s="233"/>
      <c r="CT216" s="233"/>
      <c r="CU216" s="233"/>
      <c r="CV216" s="233"/>
      <c r="CW216" s="233"/>
      <c r="CX216" s="233"/>
      <c r="CY216" s="233"/>
      <c r="CZ216" s="233"/>
      <c r="DA216" s="233"/>
      <c r="DB216" s="233"/>
      <c r="DC216" s="233"/>
      <c r="DD216" s="233"/>
    </row>
    <row r="217" spans="1:131" x14ac:dyDescent="0.25">
      <c r="BG217" s="233"/>
      <c r="BH217" s="233"/>
      <c r="BI217" s="408"/>
      <c r="BJ217" s="408"/>
      <c r="BK217" s="408"/>
      <c r="BL217" s="408"/>
      <c r="BM217" s="408"/>
      <c r="BN217" s="233"/>
      <c r="BO217" s="233"/>
      <c r="BP217" s="233"/>
      <c r="BQ217" s="233"/>
      <c r="BR217" s="233"/>
      <c r="BS217" s="233"/>
      <c r="BT217" s="233"/>
      <c r="BU217" s="233"/>
      <c r="BV217" s="233"/>
      <c r="BW217" s="233"/>
      <c r="BX217" s="233"/>
      <c r="BY217" s="233"/>
      <c r="BZ217" s="29"/>
      <c r="CG217" s="29"/>
      <c r="CH217" s="29"/>
      <c r="CI217" s="29"/>
      <c r="CJ217" s="29"/>
      <c r="CK217" s="29"/>
      <c r="CL217" s="29"/>
      <c r="CM217" s="233"/>
      <c r="CN217" s="233"/>
      <c r="CO217" s="233"/>
      <c r="CP217" s="233"/>
      <c r="CQ217" s="233"/>
      <c r="CR217" s="233"/>
      <c r="CS217" s="233"/>
      <c r="CT217" s="233"/>
      <c r="CU217" s="233"/>
      <c r="CV217" s="233"/>
      <c r="CW217" s="233"/>
      <c r="CX217" s="233"/>
      <c r="CY217" s="233"/>
      <c r="CZ217" s="233"/>
      <c r="DA217" s="233"/>
      <c r="DB217" s="233"/>
      <c r="DC217" s="233"/>
      <c r="DD217" s="233"/>
    </row>
    <row r="218" spans="1:131" x14ac:dyDescent="0.25">
      <c r="BG218" s="233"/>
      <c r="BH218" s="233"/>
      <c r="BI218" s="408"/>
      <c r="BJ218" s="408"/>
      <c r="BK218" s="408"/>
      <c r="BL218" s="408"/>
      <c r="BM218" s="408"/>
      <c r="BN218" s="233"/>
      <c r="BO218" s="233"/>
      <c r="BP218" s="233"/>
      <c r="BQ218" s="233"/>
      <c r="BR218" s="233"/>
      <c r="BS218" s="233"/>
      <c r="BT218" s="233"/>
      <c r="BU218" s="233"/>
      <c r="BV218" s="233"/>
      <c r="BW218" s="233"/>
      <c r="BX218" s="233"/>
      <c r="BY218" s="233"/>
      <c r="BZ218" s="29"/>
      <c r="CG218" s="29"/>
      <c r="CH218" s="29"/>
      <c r="CI218" s="29"/>
      <c r="CJ218" s="29"/>
      <c r="CK218" s="29"/>
      <c r="CL218" s="29"/>
      <c r="CM218" s="233"/>
      <c r="CN218" s="233"/>
      <c r="CO218" s="233"/>
      <c r="CP218" s="233"/>
      <c r="CQ218" s="233"/>
      <c r="CR218" s="233"/>
      <c r="CS218" s="233"/>
      <c r="CT218" s="233"/>
      <c r="CU218" s="233"/>
      <c r="CV218" s="233"/>
      <c r="CW218" s="233"/>
      <c r="CX218" s="233"/>
      <c r="CY218" s="233"/>
      <c r="CZ218" s="233"/>
      <c r="DA218" s="233"/>
      <c r="DB218" s="233"/>
      <c r="DC218" s="233"/>
      <c r="DD218" s="233"/>
    </row>
    <row r="219" spans="1:131" x14ac:dyDescent="0.25">
      <c r="BG219" s="233"/>
      <c r="BH219" s="233"/>
      <c r="BI219" s="408"/>
      <c r="BJ219" s="408"/>
      <c r="BK219" s="408"/>
      <c r="BL219" s="408"/>
      <c r="BM219" s="408"/>
      <c r="BN219" s="233"/>
      <c r="BO219" s="233"/>
      <c r="BP219" s="233"/>
      <c r="BQ219" s="233"/>
      <c r="BR219" s="233"/>
      <c r="BS219" s="233"/>
      <c r="BT219" s="233"/>
      <c r="BU219" s="233"/>
      <c r="BV219" s="233"/>
      <c r="BW219" s="233"/>
      <c r="BX219" s="233"/>
      <c r="BY219" s="233"/>
      <c r="BZ219" s="29"/>
      <c r="CG219" s="29"/>
      <c r="CH219" s="29"/>
      <c r="CI219" s="29"/>
      <c r="CJ219" s="29"/>
      <c r="CK219" s="29"/>
      <c r="CL219" s="29"/>
      <c r="CM219" s="233"/>
      <c r="CN219" s="233"/>
      <c r="CO219" s="233"/>
      <c r="CP219" s="233"/>
      <c r="CQ219" s="233"/>
      <c r="CR219" s="233"/>
      <c r="CS219" s="233"/>
      <c r="CT219" s="233"/>
      <c r="CU219" s="233"/>
      <c r="CV219" s="233"/>
      <c r="CW219" s="233"/>
      <c r="CX219" s="233"/>
      <c r="CY219" s="233"/>
      <c r="CZ219" s="233"/>
      <c r="DA219" s="233"/>
      <c r="DB219" s="233"/>
      <c r="DC219" s="233"/>
      <c r="DD219" s="233"/>
    </row>
    <row r="220" spans="1:131" x14ac:dyDescent="0.25">
      <c r="BG220" s="233"/>
      <c r="BH220" s="233"/>
      <c r="BI220" s="408"/>
      <c r="BJ220" s="408"/>
      <c r="BK220" s="408"/>
      <c r="BL220" s="408"/>
      <c r="BM220" s="408"/>
      <c r="BN220" s="233"/>
      <c r="BO220" s="233"/>
      <c r="BP220" s="233"/>
      <c r="BQ220" s="233"/>
      <c r="BR220" s="233"/>
      <c r="BS220" s="233"/>
      <c r="BT220" s="233"/>
      <c r="BU220" s="233"/>
      <c r="BV220" s="233"/>
      <c r="BW220" s="233"/>
      <c r="BX220" s="233"/>
      <c r="BY220" s="233"/>
      <c r="BZ220" s="29"/>
      <c r="CG220" s="29"/>
      <c r="CH220" s="29"/>
      <c r="CI220" s="29"/>
      <c r="CJ220" s="29"/>
      <c r="CK220" s="29"/>
      <c r="CL220" s="29"/>
      <c r="CM220" s="233"/>
      <c r="CN220" s="233"/>
      <c r="CO220" s="233"/>
      <c r="CP220" s="233"/>
      <c r="CQ220" s="233"/>
      <c r="CR220" s="233"/>
      <c r="CS220" s="233"/>
      <c r="CT220" s="233"/>
      <c r="CU220" s="233"/>
      <c r="CV220" s="233"/>
      <c r="CW220" s="233"/>
      <c r="CX220" s="233"/>
      <c r="CY220" s="233"/>
      <c r="CZ220" s="233"/>
      <c r="DA220" s="233"/>
      <c r="DB220" s="233"/>
      <c r="DC220" s="233"/>
      <c r="DD220" s="233"/>
    </row>
    <row r="221" spans="1:131" x14ac:dyDescent="0.25">
      <c r="BG221" s="233"/>
      <c r="BH221" s="233"/>
      <c r="BI221" s="408"/>
      <c r="BJ221" s="408"/>
      <c r="BK221" s="408"/>
      <c r="BL221" s="408"/>
      <c r="BM221" s="408"/>
      <c r="BN221" s="233"/>
      <c r="BO221" s="233"/>
      <c r="BP221" s="233"/>
      <c r="BQ221" s="233"/>
      <c r="BR221" s="233"/>
      <c r="BS221" s="233"/>
      <c r="BT221" s="233"/>
      <c r="BU221" s="233"/>
      <c r="BV221" s="233"/>
      <c r="BW221" s="233"/>
      <c r="BX221" s="233"/>
      <c r="BY221" s="233"/>
      <c r="BZ221" s="29"/>
      <c r="CG221" s="29"/>
      <c r="CH221" s="29"/>
      <c r="CI221" s="29"/>
      <c r="CJ221" s="29"/>
      <c r="CK221" s="29"/>
      <c r="CL221" s="29"/>
      <c r="CM221" s="233"/>
      <c r="CN221" s="233"/>
      <c r="CO221" s="233"/>
      <c r="CP221" s="233"/>
      <c r="CQ221" s="233"/>
      <c r="CR221" s="233"/>
      <c r="CS221" s="233"/>
      <c r="CT221" s="233"/>
      <c r="CU221" s="233"/>
      <c r="CV221" s="233"/>
      <c r="CW221" s="233"/>
      <c r="CX221" s="233"/>
      <c r="CY221" s="233"/>
      <c r="CZ221" s="233"/>
      <c r="DA221" s="233"/>
      <c r="DB221" s="233"/>
      <c r="DC221" s="233"/>
      <c r="DD221" s="233"/>
    </row>
    <row r="222" spans="1:131" x14ac:dyDescent="0.25">
      <c r="BG222" s="233"/>
      <c r="BH222" s="233"/>
      <c r="BI222" s="408"/>
      <c r="BJ222" s="408"/>
      <c r="BK222" s="408"/>
      <c r="BL222" s="408"/>
      <c r="BM222" s="408"/>
      <c r="BN222" s="233"/>
      <c r="BO222" s="233"/>
      <c r="BP222" s="233"/>
      <c r="BQ222" s="233"/>
      <c r="BR222" s="233"/>
      <c r="BS222" s="233"/>
      <c r="BT222" s="233"/>
      <c r="BU222" s="233"/>
      <c r="BV222" s="233"/>
      <c r="BW222" s="233"/>
      <c r="BX222" s="233"/>
      <c r="BY222" s="233"/>
      <c r="BZ222" s="29"/>
      <c r="CG222" s="29"/>
      <c r="CH222" s="29"/>
      <c r="CI222" s="29"/>
      <c r="CJ222" s="29"/>
      <c r="CK222" s="29"/>
      <c r="CL222" s="29"/>
      <c r="CM222" s="233"/>
      <c r="CN222" s="233"/>
      <c r="CO222" s="233"/>
      <c r="CP222" s="233"/>
      <c r="CQ222" s="233"/>
      <c r="CR222" s="233"/>
      <c r="CS222" s="233"/>
      <c r="CT222" s="233"/>
      <c r="CU222" s="233"/>
      <c r="CV222" s="233"/>
      <c r="CW222" s="233"/>
      <c r="CX222" s="233"/>
      <c r="CY222" s="233"/>
      <c r="CZ222" s="233"/>
      <c r="DA222" s="233"/>
      <c r="DB222" s="233"/>
      <c r="DC222" s="233"/>
      <c r="DD222" s="233"/>
    </row>
    <row r="223" spans="1:131" x14ac:dyDescent="0.25">
      <c r="BG223" s="233"/>
      <c r="BH223" s="233"/>
      <c r="BI223" s="408"/>
      <c r="BJ223" s="408"/>
      <c r="BK223" s="408"/>
      <c r="BL223" s="408"/>
      <c r="BM223" s="408"/>
      <c r="BN223" s="233"/>
      <c r="BO223" s="233"/>
      <c r="BP223" s="233"/>
      <c r="BQ223" s="233"/>
      <c r="BR223" s="233"/>
      <c r="BS223" s="233"/>
      <c r="BT223" s="233"/>
      <c r="BU223" s="233"/>
      <c r="BV223" s="233"/>
      <c r="BW223" s="233"/>
      <c r="BX223" s="233"/>
      <c r="BY223" s="233"/>
      <c r="BZ223" s="29"/>
      <c r="CG223" s="29"/>
      <c r="CH223" s="29"/>
      <c r="CI223" s="29"/>
      <c r="CJ223" s="29"/>
      <c r="CK223" s="29"/>
      <c r="CL223" s="29"/>
      <c r="CM223" s="233"/>
      <c r="CN223" s="233"/>
      <c r="CO223" s="233"/>
      <c r="CP223" s="233"/>
      <c r="CQ223" s="233"/>
      <c r="CR223" s="233"/>
      <c r="CS223" s="233"/>
      <c r="CT223" s="233"/>
      <c r="CU223" s="233"/>
      <c r="CV223" s="233"/>
      <c r="CW223" s="233"/>
      <c r="CX223" s="233"/>
      <c r="CY223" s="233"/>
      <c r="CZ223" s="233"/>
      <c r="DA223" s="233"/>
      <c r="DB223" s="233"/>
      <c r="DC223" s="233"/>
      <c r="DD223" s="233"/>
    </row>
    <row r="224" spans="1:131" x14ac:dyDescent="0.25">
      <c r="BG224" s="233"/>
      <c r="BH224" s="233"/>
      <c r="BI224" s="408"/>
      <c r="BJ224" s="408"/>
      <c r="BK224" s="408"/>
      <c r="BL224" s="408"/>
      <c r="BM224" s="408"/>
      <c r="BN224" s="233"/>
      <c r="BO224" s="233"/>
      <c r="BP224" s="233"/>
      <c r="BQ224" s="233"/>
      <c r="BR224" s="233"/>
      <c r="BS224" s="233"/>
      <c r="BT224" s="233"/>
      <c r="BU224" s="233"/>
      <c r="BV224" s="233"/>
      <c r="BW224" s="233"/>
      <c r="BX224" s="233"/>
      <c r="BY224" s="233"/>
      <c r="BZ224" s="29"/>
      <c r="CG224" s="29"/>
      <c r="CH224" s="29"/>
      <c r="CI224" s="29"/>
      <c r="CJ224" s="29"/>
      <c r="CK224" s="29"/>
      <c r="CL224" s="29"/>
      <c r="CM224" s="233"/>
      <c r="CN224" s="233"/>
      <c r="CO224" s="233"/>
      <c r="CP224" s="233"/>
      <c r="CQ224" s="233"/>
      <c r="CR224" s="233"/>
      <c r="CS224" s="233"/>
      <c r="CT224" s="233"/>
      <c r="CU224" s="233"/>
      <c r="CV224" s="233"/>
      <c r="CW224" s="233"/>
      <c r="CX224" s="233"/>
      <c r="CY224" s="233"/>
      <c r="CZ224" s="233"/>
      <c r="DA224" s="233"/>
      <c r="DB224" s="233"/>
      <c r="DC224" s="233"/>
      <c r="DD224" s="233"/>
    </row>
    <row r="225" spans="59:108" x14ac:dyDescent="0.25">
      <c r="BG225" s="233"/>
      <c r="BH225" s="233"/>
      <c r="BI225" s="408"/>
      <c r="BJ225" s="408"/>
      <c r="BK225" s="408"/>
      <c r="BL225" s="408"/>
      <c r="BM225" s="408"/>
      <c r="BN225" s="233"/>
      <c r="BO225" s="233"/>
      <c r="BP225" s="233"/>
      <c r="BQ225" s="233"/>
      <c r="BR225" s="233"/>
      <c r="BS225" s="233"/>
      <c r="BT225" s="233"/>
      <c r="BU225" s="233"/>
      <c r="BV225" s="233"/>
      <c r="BW225" s="233"/>
      <c r="BX225" s="233"/>
      <c r="BY225" s="233"/>
      <c r="BZ225" s="29"/>
      <c r="CG225" s="29"/>
      <c r="CH225" s="29"/>
      <c r="CI225" s="29"/>
      <c r="CJ225" s="29"/>
      <c r="CK225" s="29"/>
      <c r="CL225" s="29"/>
      <c r="CM225" s="233"/>
      <c r="CN225" s="233"/>
      <c r="CO225" s="233"/>
      <c r="CP225" s="233"/>
      <c r="CQ225" s="233"/>
      <c r="CR225" s="233"/>
      <c r="CS225" s="233"/>
      <c r="CT225" s="233"/>
      <c r="CU225" s="233"/>
      <c r="CV225" s="233"/>
      <c r="CW225" s="233"/>
      <c r="CX225" s="233"/>
      <c r="CY225" s="233"/>
      <c r="CZ225" s="233"/>
      <c r="DA225" s="233"/>
      <c r="DB225" s="233"/>
      <c r="DC225" s="233"/>
      <c r="DD225" s="233"/>
    </row>
    <row r="226" spans="59:108" x14ac:dyDescent="0.25">
      <c r="BG226" s="233"/>
      <c r="BH226" s="233"/>
      <c r="BI226" s="408"/>
      <c r="BJ226" s="408"/>
      <c r="BK226" s="408"/>
      <c r="BL226" s="408"/>
      <c r="BM226" s="408"/>
      <c r="BN226" s="233"/>
      <c r="BO226" s="233"/>
      <c r="BP226" s="233"/>
      <c r="BQ226" s="233"/>
      <c r="BR226" s="233"/>
      <c r="BS226" s="233"/>
      <c r="BT226" s="233"/>
      <c r="BU226" s="233"/>
      <c r="BV226" s="233"/>
      <c r="BW226" s="233"/>
      <c r="BX226" s="233"/>
      <c r="BY226" s="233"/>
      <c r="BZ226" s="29"/>
      <c r="CG226" s="29"/>
      <c r="CH226" s="29"/>
      <c r="CI226" s="29"/>
      <c r="CJ226" s="29"/>
      <c r="CK226" s="29"/>
      <c r="CL226" s="29"/>
      <c r="CM226" s="233"/>
      <c r="CN226" s="233"/>
      <c r="CO226" s="233"/>
      <c r="CP226" s="233"/>
      <c r="CQ226" s="233"/>
      <c r="CR226" s="233"/>
      <c r="CS226" s="233"/>
      <c r="CT226" s="233"/>
      <c r="CU226" s="233"/>
      <c r="CV226" s="233"/>
      <c r="CW226" s="233"/>
      <c r="CX226" s="233"/>
      <c r="CY226" s="233"/>
      <c r="CZ226" s="233"/>
      <c r="DA226" s="233"/>
      <c r="DB226" s="233"/>
      <c r="DC226" s="233"/>
      <c r="DD226" s="233"/>
    </row>
    <row r="227" spans="59:108" x14ac:dyDescent="0.25">
      <c r="BG227" s="233"/>
      <c r="BH227" s="233"/>
      <c r="BI227" s="408"/>
      <c r="BJ227" s="408"/>
      <c r="BK227" s="408"/>
      <c r="BL227" s="408"/>
      <c r="BM227" s="408"/>
      <c r="BN227" s="233"/>
      <c r="BO227" s="233"/>
      <c r="BP227" s="233"/>
      <c r="BQ227" s="233"/>
      <c r="BR227" s="233"/>
      <c r="BS227" s="233"/>
      <c r="BT227" s="233"/>
      <c r="BU227" s="233"/>
      <c r="BV227" s="233"/>
      <c r="BW227" s="233"/>
      <c r="BX227" s="233"/>
      <c r="BY227" s="233"/>
      <c r="BZ227" s="29"/>
      <c r="CG227" s="29"/>
      <c r="CH227" s="29"/>
      <c r="CI227" s="29"/>
      <c r="CJ227" s="29"/>
      <c r="CK227" s="29"/>
      <c r="CL227" s="29"/>
      <c r="CM227" s="233"/>
      <c r="CN227" s="233"/>
      <c r="CO227" s="233"/>
      <c r="CP227" s="233"/>
      <c r="CQ227" s="233"/>
      <c r="CR227" s="233"/>
      <c r="CS227" s="233"/>
      <c r="CT227" s="233"/>
      <c r="CU227" s="233"/>
      <c r="CV227" s="233"/>
      <c r="CW227" s="233"/>
      <c r="CX227" s="233"/>
      <c r="CY227" s="233"/>
      <c r="CZ227" s="233"/>
      <c r="DA227" s="233"/>
      <c r="DB227" s="233"/>
      <c r="DC227" s="233"/>
      <c r="DD227" s="233"/>
    </row>
    <row r="228" spans="59:108" x14ac:dyDescent="0.25">
      <c r="BG228" s="233"/>
      <c r="BH228" s="233"/>
      <c r="BI228" s="408"/>
      <c r="BJ228" s="408"/>
      <c r="BK228" s="408"/>
      <c r="BL228" s="408"/>
      <c r="BM228" s="408"/>
      <c r="BN228" s="233"/>
      <c r="BO228" s="233"/>
      <c r="BP228" s="233"/>
      <c r="BQ228" s="233"/>
      <c r="BR228" s="233"/>
      <c r="BS228" s="233"/>
      <c r="BT228" s="233"/>
      <c r="BU228" s="233"/>
      <c r="BV228" s="233"/>
      <c r="BW228" s="233"/>
      <c r="BX228" s="233"/>
      <c r="BY228" s="233"/>
      <c r="BZ228" s="29"/>
      <c r="CG228" s="29"/>
      <c r="CH228" s="29"/>
      <c r="CI228" s="29"/>
      <c r="CJ228" s="29"/>
      <c r="CK228" s="29"/>
      <c r="CL228" s="29"/>
      <c r="CM228" s="233"/>
      <c r="CN228" s="233"/>
      <c r="CO228" s="233"/>
      <c r="CP228" s="233"/>
      <c r="CQ228" s="233"/>
      <c r="CR228" s="233"/>
      <c r="CS228" s="233"/>
      <c r="CT228" s="233"/>
      <c r="CU228" s="233"/>
      <c r="CV228" s="233"/>
      <c r="CW228" s="233"/>
      <c r="CX228" s="233"/>
      <c r="CY228" s="233"/>
      <c r="CZ228" s="233"/>
      <c r="DA228" s="233"/>
      <c r="DB228" s="233"/>
      <c r="DC228" s="233"/>
      <c r="DD228" s="233"/>
    </row>
    <row r="229" spans="59:108" x14ac:dyDescent="0.25">
      <c r="BG229" s="233"/>
      <c r="BH229" s="233"/>
      <c r="BI229" s="408"/>
      <c r="BJ229" s="408"/>
      <c r="BK229" s="408"/>
      <c r="BL229" s="408"/>
      <c r="BM229" s="408"/>
      <c r="BN229" s="233"/>
      <c r="BO229" s="233"/>
      <c r="BP229" s="233"/>
      <c r="BQ229" s="233"/>
      <c r="BR229" s="233"/>
      <c r="BS229" s="233"/>
      <c r="BT229" s="233"/>
      <c r="BU229" s="233"/>
      <c r="BV229" s="233"/>
      <c r="BW229" s="233"/>
      <c r="BX229" s="233"/>
      <c r="BY229" s="233"/>
      <c r="BZ229" s="29"/>
      <c r="CG229" s="29"/>
      <c r="CH229" s="29"/>
      <c r="CI229" s="29"/>
      <c r="CJ229" s="29"/>
      <c r="CK229" s="29"/>
      <c r="CL229" s="29"/>
      <c r="CM229" s="233"/>
      <c r="CN229" s="233"/>
      <c r="CO229" s="233"/>
      <c r="CP229" s="233"/>
      <c r="CQ229" s="233"/>
      <c r="CR229" s="233"/>
      <c r="CS229" s="233"/>
      <c r="CT229" s="233"/>
      <c r="CU229" s="233"/>
      <c r="CV229" s="233"/>
      <c r="CW229" s="233"/>
      <c r="CX229" s="233"/>
      <c r="CY229" s="233"/>
      <c r="CZ229" s="233"/>
      <c r="DA229" s="233"/>
      <c r="DB229" s="233"/>
      <c r="DC229" s="233"/>
      <c r="DD229" s="233"/>
    </row>
    <row r="230" spans="59:108" x14ac:dyDescent="0.25">
      <c r="BG230" s="233"/>
      <c r="BH230" s="233"/>
      <c r="BI230" s="408"/>
      <c r="BJ230" s="408"/>
      <c r="BK230" s="408"/>
      <c r="BL230" s="408"/>
      <c r="BM230" s="408"/>
      <c r="BN230" s="233"/>
      <c r="BO230" s="233"/>
      <c r="BP230" s="233"/>
      <c r="BQ230" s="233"/>
      <c r="BR230" s="233"/>
      <c r="BS230" s="233"/>
      <c r="BT230" s="233"/>
      <c r="BU230" s="233"/>
      <c r="BV230" s="233"/>
      <c r="BW230" s="233"/>
      <c r="BX230" s="233"/>
      <c r="BY230" s="233"/>
      <c r="BZ230" s="233"/>
      <c r="CG230" s="233"/>
      <c r="CH230" s="233"/>
      <c r="CI230" s="233"/>
      <c r="CJ230" s="233"/>
      <c r="CK230" s="233"/>
      <c r="CL230" s="233"/>
      <c r="CM230" s="233"/>
      <c r="CN230" s="233"/>
      <c r="CO230" s="233"/>
      <c r="CP230" s="233"/>
      <c r="CQ230" s="233"/>
      <c r="CR230" s="233"/>
      <c r="CS230" s="233"/>
      <c r="CT230" s="233"/>
      <c r="CU230" s="233"/>
      <c r="CV230" s="233"/>
      <c r="CW230" s="233"/>
      <c r="CX230" s="233"/>
      <c r="CY230" s="233"/>
      <c r="CZ230" s="233"/>
      <c r="DA230" s="233"/>
      <c r="DB230" s="233"/>
      <c r="DC230" s="233"/>
      <c r="DD230" s="233"/>
    </row>
    <row r="231" spans="59:108" ht="15" customHeight="1" x14ac:dyDescent="0.25">
      <c r="BG231" s="233"/>
      <c r="BH231" s="233"/>
      <c r="BI231" s="408"/>
      <c r="BJ231" s="408"/>
      <c r="BK231" s="408"/>
      <c r="BL231" s="408"/>
      <c r="BM231" s="408"/>
      <c r="BN231" s="233"/>
      <c r="BO231" s="233"/>
      <c r="BP231" s="233"/>
      <c r="BQ231" s="233"/>
      <c r="BR231" s="233"/>
      <c r="BS231" s="233"/>
      <c r="BT231" s="233"/>
      <c r="BU231" s="233"/>
      <c r="BV231" s="233"/>
      <c r="BW231" s="233"/>
      <c r="BX231" s="233"/>
      <c r="BY231" s="233"/>
      <c r="BZ231" s="233"/>
      <c r="CG231" s="233"/>
      <c r="CH231" s="233"/>
      <c r="CI231" s="233"/>
      <c r="CJ231" s="233"/>
      <c r="CK231" s="233"/>
      <c r="CL231" s="233"/>
      <c r="CM231" s="233"/>
      <c r="CN231" s="233"/>
      <c r="CO231" s="233"/>
      <c r="CP231" s="233"/>
      <c r="CQ231" s="233"/>
      <c r="CR231" s="233"/>
      <c r="CS231" s="233"/>
      <c r="CT231" s="233"/>
      <c r="CU231" s="233"/>
      <c r="CV231" s="233"/>
      <c r="CW231" s="233"/>
      <c r="CX231" s="233"/>
      <c r="CY231" s="233"/>
      <c r="CZ231" s="233"/>
      <c r="DA231" s="233"/>
      <c r="DB231" s="233"/>
      <c r="DC231" s="233"/>
      <c r="DD231" s="233"/>
    </row>
    <row r="232" spans="59:108" x14ac:dyDescent="0.25">
      <c r="BG232" s="233"/>
      <c r="BH232" s="233"/>
      <c r="BI232" s="408"/>
      <c r="BJ232" s="408"/>
      <c r="BK232" s="408"/>
      <c r="BL232" s="408"/>
      <c r="BM232" s="408"/>
      <c r="BN232" s="233"/>
      <c r="BO232" s="233"/>
      <c r="BP232" s="233"/>
      <c r="BQ232" s="233"/>
      <c r="BR232" s="233"/>
      <c r="BS232" s="233"/>
      <c r="BT232" s="233"/>
      <c r="BU232" s="233"/>
      <c r="BV232" s="233"/>
      <c r="BW232" s="233"/>
      <c r="BX232" s="233"/>
      <c r="BY232" s="233"/>
      <c r="BZ232" s="233"/>
      <c r="CG232" s="233"/>
      <c r="CH232" s="233"/>
      <c r="CI232" s="233"/>
      <c r="CJ232" s="233"/>
      <c r="CK232" s="233"/>
      <c r="CL232" s="233"/>
      <c r="CM232" s="233"/>
      <c r="CN232" s="233"/>
      <c r="CO232" s="233"/>
      <c r="CP232" s="233"/>
      <c r="CQ232" s="233"/>
      <c r="CR232" s="233"/>
      <c r="CS232" s="233"/>
      <c r="CT232" s="233"/>
      <c r="CU232" s="233"/>
      <c r="CV232" s="233"/>
      <c r="CW232" s="233"/>
      <c r="CX232" s="233"/>
      <c r="CY232" s="233"/>
      <c r="CZ232" s="233"/>
      <c r="DA232" s="233"/>
      <c r="DB232" s="233"/>
      <c r="DC232" s="233"/>
      <c r="DD232" s="233"/>
    </row>
    <row r="233" spans="59:108" x14ac:dyDescent="0.25">
      <c r="BG233" s="233"/>
      <c r="BH233" s="233"/>
      <c r="BI233" s="408"/>
      <c r="BJ233" s="408"/>
      <c r="BK233" s="408"/>
      <c r="BL233" s="408"/>
      <c r="BM233" s="408"/>
      <c r="BN233" s="233"/>
      <c r="BO233" s="233"/>
      <c r="BP233" s="233"/>
      <c r="BQ233" s="233"/>
      <c r="BR233" s="233"/>
      <c r="BS233" s="233"/>
      <c r="BT233" s="233"/>
      <c r="BU233" s="233"/>
      <c r="BV233" s="233"/>
      <c r="BW233" s="233"/>
      <c r="BX233" s="233"/>
      <c r="BY233" s="233"/>
      <c r="BZ233" s="233"/>
      <c r="CG233" s="233"/>
      <c r="CH233" s="233"/>
      <c r="CI233" s="233"/>
      <c r="CJ233" s="233"/>
      <c r="CK233" s="233"/>
      <c r="CL233" s="233"/>
      <c r="CM233" s="233"/>
      <c r="CN233" s="233"/>
      <c r="CO233" s="233"/>
      <c r="CP233" s="233"/>
      <c r="CQ233" s="233"/>
      <c r="CR233" s="233"/>
      <c r="CS233" s="233"/>
      <c r="CT233" s="233"/>
      <c r="CU233" s="233"/>
      <c r="CV233" s="233"/>
      <c r="CW233" s="233"/>
      <c r="CX233" s="233"/>
      <c r="CY233" s="233"/>
      <c r="CZ233" s="233"/>
      <c r="DA233" s="233"/>
      <c r="DB233" s="233"/>
      <c r="DC233" s="233"/>
      <c r="DD233" s="233"/>
    </row>
    <row r="234" spans="59:108" x14ac:dyDescent="0.25">
      <c r="BG234" s="233"/>
      <c r="BH234" s="233"/>
      <c r="BI234" s="408"/>
      <c r="BJ234" s="408"/>
      <c r="BK234" s="408"/>
      <c r="BL234" s="408"/>
      <c r="BM234" s="408"/>
      <c r="BN234" s="233"/>
      <c r="BO234" s="233"/>
      <c r="BP234" s="233"/>
      <c r="BQ234" s="233"/>
      <c r="BR234" s="233"/>
      <c r="BS234" s="233"/>
      <c r="BT234" s="233"/>
      <c r="BU234" s="233"/>
      <c r="BV234" s="233"/>
      <c r="BW234" s="233"/>
      <c r="BX234" s="233"/>
      <c r="BY234" s="233"/>
      <c r="BZ234" s="233"/>
      <c r="CG234" s="233"/>
      <c r="CH234" s="233"/>
      <c r="CI234" s="233"/>
      <c r="CJ234" s="233"/>
      <c r="CK234" s="233"/>
      <c r="CL234" s="233"/>
      <c r="CM234" s="233"/>
      <c r="CN234" s="233"/>
      <c r="CO234" s="233"/>
      <c r="CP234" s="233"/>
      <c r="CQ234" s="233"/>
      <c r="CR234" s="233"/>
      <c r="CS234" s="233"/>
      <c r="CT234" s="233"/>
      <c r="CU234" s="233"/>
      <c r="CV234" s="233"/>
      <c r="CW234" s="233"/>
      <c r="CX234" s="233"/>
      <c r="CY234" s="233"/>
      <c r="CZ234" s="233"/>
      <c r="DA234" s="233"/>
      <c r="DB234" s="233"/>
      <c r="DC234" s="233"/>
      <c r="DD234" s="233"/>
    </row>
    <row r="235" spans="59:108" x14ac:dyDescent="0.25">
      <c r="BG235" s="233"/>
      <c r="BH235" s="233"/>
      <c r="BI235" s="408"/>
      <c r="BJ235" s="408"/>
      <c r="BK235" s="408"/>
      <c r="BL235" s="408"/>
      <c r="BM235" s="408"/>
      <c r="BN235" s="233"/>
      <c r="BO235" s="233"/>
      <c r="BP235" s="233"/>
      <c r="BQ235" s="233"/>
      <c r="BR235" s="233"/>
      <c r="BS235" s="233"/>
      <c r="BT235" s="233"/>
      <c r="BU235" s="233"/>
      <c r="BV235" s="233"/>
      <c r="BW235" s="233"/>
      <c r="BX235" s="233"/>
      <c r="BY235" s="233"/>
      <c r="BZ235" s="233"/>
      <c r="CG235" s="233"/>
      <c r="CH235" s="233"/>
      <c r="CI235" s="233"/>
      <c r="CJ235" s="233"/>
      <c r="CK235" s="233"/>
      <c r="CL235" s="233"/>
      <c r="CM235" s="233"/>
      <c r="CN235" s="233"/>
      <c r="CO235" s="233"/>
      <c r="CP235" s="233"/>
      <c r="CQ235" s="233"/>
      <c r="CR235" s="233"/>
      <c r="CS235" s="233"/>
      <c r="CT235" s="233"/>
      <c r="CU235" s="233"/>
      <c r="CV235" s="233"/>
      <c r="CW235" s="233"/>
      <c r="CX235" s="233"/>
      <c r="CY235" s="233"/>
      <c r="CZ235" s="233"/>
      <c r="DA235" s="233"/>
      <c r="DB235" s="233"/>
      <c r="DC235" s="233"/>
      <c r="DD235" s="233"/>
    </row>
    <row r="236" spans="59:108" x14ac:dyDescent="0.25">
      <c r="BG236" s="233"/>
      <c r="BH236" s="233"/>
      <c r="BI236" s="408"/>
      <c r="BJ236" s="408"/>
      <c r="BK236" s="408"/>
      <c r="BL236" s="408"/>
      <c r="BM236" s="408"/>
      <c r="BN236" s="233"/>
      <c r="BO236" s="233"/>
      <c r="BP236" s="233"/>
      <c r="BQ236" s="233"/>
      <c r="BR236" s="233"/>
      <c r="BS236" s="233"/>
      <c r="BT236" s="233"/>
      <c r="BU236" s="233"/>
      <c r="BV236" s="233"/>
      <c r="BW236" s="233"/>
      <c r="BX236" s="233"/>
      <c r="BY236" s="233"/>
      <c r="BZ236" s="233"/>
      <c r="CG236" s="233"/>
      <c r="CH236" s="233"/>
      <c r="CI236" s="233"/>
      <c r="CJ236" s="233"/>
      <c r="CK236" s="233"/>
      <c r="CL236" s="233"/>
      <c r="CM236" s="233"/>
      <c r="CN236" s="233"/>
      <c r="CO236" s="233"/>
      <c r="CP236" s="233"/>
      <c r="CQ236" s="233"/>
      <c r="CR236" s="233"/>
      <c r="CS236" s="233"/>
      <c r="CT236" s="233"/>
      <c r="CU236" s="233"/>
      <c r="CV236" s="233"/>
      <c r="CW236" s="233"/>
      <c r="CX236" s="233"/>
      <c r="CY236" s="233"/>
      <c r="CZ236" s="233"/>
      <c r="DA236" s="233"/>
      <c r="DB236" s="233"/>
      <c r="DC236" s="233"/>
      <c r="DD236" s="233"/>
    </row>
    <row r="237" spans="59:108" x14ac:dyDescent="0.25">
      <c r="BG237" s="233"/>
      <c r="BH237" s="233"/>
      <c r="BI237" s="408"/>
      <c r="BJ237" s="408"/>
      <c r="BK237" s="408"/>
      <c r="BL237" s="408"/>
      <c r="BM237" s="408"/>
      <c r="BN237" s="233"/>
      <c r="BO237" s="233"/>
      <c r="BP237" s="233"/>
      <c r="BQ237" s="233"/>
      <c r="BR237" s="233"/>
      <c r="BS237" s="233"/>
      <c r="BT237" s="233"/>
      <c r="BU237" s="233"/>
      <c r="BV237" s="233"/>
      <c r="BW237" s="233"/>
      <c r="BX237" s="233"/>
      <c r="BY237" s="233"/>
      <c r="BZ237" s="233"/>
      <c r="CG237" s="233"/>
      <c r="CH237" s="233"/>
      <c r="CI237" s="233"/>
      <c r="CJ237" s="233"/>
      <c r="CK237" s="233"/>
      <c r="CL237" s="233"/>
      <c r="CM237" s="233"/>
      <c r="CN237" s="233"/>
      <c r="CO237" s="233"/>
      <c r="CP237" s="233"/>
      <c r="CQ237" s="233"/>
      <c r="CR237" s="233"/>
      <c r="CS237" s="233"/>
      <c r="CT237" s="233"/>
      <c r="CU237" s="233"/>
      <c r="CV237" s="233"/>
      <c r="CW237" s="233"/>
      <c r="CX237" s="233"/>
      <c r="CY237" s="233"/>
      <c r="CZ237" s="233"/>
      <c r="DA237" s="233"/>
      <c r="DB237" s="233"/>
      <c r="DC237" s="233"/>
      <c r="DD237" s="233"/>
    </row>
    <row r="238" spans="59:108" x14ac:dyDescent="0.25">
      <c r="BG238" s="233"/>
      <c r="BH238" s="233"/>
      <c r="BI238" s="408"/>
      <c r="BJ238" s="408"/>
      <c r="BK238" s="408"/>
      <c r="BL238" s="408"/>
      <c r="BM238" s="408"/>
      <c r="BN238" s="233"/>
      <c r="BO238" s="233"/>
      <c r="BP238" s="233"/>
      <c r="BQ238" s="233"/>
      <c r="BR238" s="233"/>
      <c r="BS238" s="233"/>
      <c r="BT238" s="233"/>
      <c r="BU238" s="233"/>
      <c r="BV238" s="233"/>
      <c r="BW238" s="233"/>
      <c r="BX238" s="233"/>
      <c r="BY238" s="233"/>
      <c r="BZ238" s="233"/>
      <c r="CG238" s="233"/>
      <c r="CH238" s="233"/>
      <c r="CI238" s="233"/>
      <c r="CJ238" s="233"/>
      <c r="CK238" s="233"/>
      <c r="CL238" s="233"/>
      <c r="CM238" s="233"/>
      <c r="CN238" s="233"/>
      <c r="CO238" s="233"/>
      <c r="CP238" s="233"/>
      <c r="CQ238" s="233"/>
      <c r="CR238" s="233"/>
      <c r="CS238" s="233"/>
      <c r="CT238" s="233"/>
      <c r="CU238" s="233"/>
      <c r="CV238" s="233"/>
      <c r="CW238" s="233"/>
      <c r="CX238" s="233"/>
      <c r="CY238" s="233"/>
      <c r="CZ238" s="233"/>
      <c r="DA238" s="233"/>
      <c r="DB238" s="233"/>
      <c r="DC238" s="233"/>
      <c r="DD238" s="233"/>
    </row>
    <row r="239" spans="59:108" x14ac:dyDescent="0.25">
      <c r="BG239" s="233"/>
      <c r="BH239" s="233"/>
      <c r="BI239" s="408"/>
      <c r="BJ239" s="408"/>
      <c r="BK239" s="408"/>
      <c r="BL239" s="408"/>
      <c r="BM239" s="408"/>
      <c r="BN239" s="233"/>
      <c r="BO239" s="233"/>
      <c r="BP239" s="233"/>
      <c r="BQ239" s="233"/>
      <c r="BR239" s="233"/>
      <c r="BS239" s="233"/>
      <c r="BT239" s="233"/>
      <c r="BU239" s="233"/>
      <c r="BV239" s="233"/>
      <c r="BW239" s="233"/>
      <c r="BX239" s="233"/>
      <c r="BY239" s="233"/>
      <c r="BZ239" s="233"/>
      <c r="CG239" s="233"/>
      <c r="CH239" s="233"/>
      <c r="CI239" s="233"/>
      <c r="CJ239" s="233"/>
      <c r="CK239" s="233"/>
      <c r="CL239" s="233"/>
      <c r="CM239" s="233"/>
      <c r="CN239" s="233"/>
      <c r="CO239" s="233"/>
      <c r="CP239" s="233"/>
      <c r="CQ239" s="233"/>
      <c r="CR239" s="233"/>
      <c r="CS239" s="233"/>
      <c r="CT239" s="233"/>
      <c r="CU239" s="233"/>
      <c r="CV239" s="233"/>
      <c r="CW239" s="233"/>
      <c r="CX239" s="233"/>
      <c r="CY239" s="233"/>
      <c r="CZ239" s="233"/>
      <c r="DA239" s="233"/>
      <c r="DB239" s="233"/>
      <c r="DC239" s="233"/>
      <c r="DD239" s="233"/>
    </row>
    <row r="240" spans="59:108" x14ac:dyDescent="0.25">
      <c r="BG240" s="233"/>
      <c r="BH240" s="233"/>
      <c r="BI240" s="408"/>
      <c r="BJ240" s="408"/>
      <c r="BK240" s="408"/>
      <c r="BL240" s="408"/>
      <c r="BM240" s="408"/>
      <c r="BN240" s="233"/>
      <c r="BO240" s="233"/>
      <c r="BP240" s="233"/>
      <c r="BQ240" s="233"/>
      <c r="BR240" s="233"/>
      <c r="BS240" s="233"/>
      <c r="BT240" s="233"/>
      <c r="BU240" s="233"/>
      <c r="BV240" s="233"/>
      <c r="BW240" s="233"/>
      <c r="BX240" s="233"/>
      <c r="BY240" s="233"/>
      <c r="BZ240" s="233"/>
      <c r="CG240" s="233"/>
      <c r="CH240" s="233"/>
      <c r="CI240" s="233"/>
      <c r="CJ240" s="233"/>
      <c r="CK240" s="233"/>
      <c r="CL240" s="233"/>
      <c r="CM240" s="233"/>
      <c r="CN240" s="233"/>
      <c r="CO240" s="233"/>
      <c r="CP240" s="233"/>
      <c r="CQ240" s="233"/>
      <c r="CR240" s="233"/>
      <c r="CS240" s="233"/>
      <c r="CT240" s="233"/>
      <c r="CU240" s="233"/>
      <c r="CV240" s="233"/>
      <c r="CW240" s="233"/>
      <c r="CX240" s="233"/>
      <c r="CY240" s="233"/>
      <c r="CZ240" s="233"/>
      <c r="DA240" s="233"/>
      <c r="DB240" s="233"/>
      <c r="DC240" s="233"/>
      <c r="DD240" s="233"/>
    </row>
    <row r="241" spans="59:108" x14ac:dyDescent="0.25">
      <c r="BG241" s="233"/>
      <c r="BH241" s="233"/>
      <c r="BI241" s="408"/>
      <c r="BJ241" s="408"/>
      <c r="BK241" s="408"/>
      <c r="BL241" s="408"/>
      <c r="BM241" s="408"/>
      <c r="BN241" s="233"/>
      <c r="BO241" s="233"/>
      <c r="BP241" s="233"/>
      <c r="BQ241" s="233"/>
      <c r="BR241" s="233"/>
      <c r="BS241" s="233"/>
      <c r="BT241" s="233"/>
      <c r="BU241" s="233"/>
      <c r="BV241" s="233"/>
      <c r="BW241" s="233"/>
      <c r="BX241" s="233"/>
      <c r="BY241" s="233"/>
      <c r="BZ241" s="233"/>
      <c r="CG241" s="233"/>
      <c r="CH241" s="233"/>
      <c r="CI241" s="233"/>
      <c r="CJ241" s="233"/>
      <c r="CK241" s="233"/>
      <c r="CL241" s="233"/>
      <c r="CM241" s="233"/>
      <c r="CN241" s="233"/>
      <c r="CO241" s="233"/>
      <c r="CP241" s="233"/>
      <c r="CQ241" s="233"/>
      <c r="CR241" s="233"/>
      <c r="CS241" s="233"/>
      <c r="CT241" s="233"/>
      <c r="CU241" s="233"/>
      <c r="CV241" s="233"/>
      <c r="CW241" s="233"/>
      <c r="CX241" s="233"/>
      <c r="CY241" s="233"/>
      <c r="CZ241" s="233"/>
      <c r="DA241" s="233"/>
      <c r="DB241" s="233"/>
      <c r="DC241" s="233"/>
      <c r="DD241" s="233"/>
    </row>
    <row r="242" spans="59:108" x14ac:dyDescent="0.25">
      <c r="BG242" s="233"/>
      <c r="BH242" s="233"/>
      <c r="BI242" s="408"/>
      <c r="BJ242" s="408"/>
      <c r="BK242" s="408"/>
      <c r="BL242" s="408"/>
      <c r="BM242" s="408"/>
      <c r="BN242" s="233"/>
      <c r="BO242" s="233"/>
      <c r="BP242" s="233"/>
      <c r="BQ242" s="233"/>
      <c r="BR242" s="233"/>
      <c r="BS242" s="233"/>
      <c r="BT242" s="233"/>
      <c r="BU242" s="233"/>
      <c r="BV242" s="233"/>
      <c r="BW242" s="233"/>
      <c r="BX242" s="233"/>
      <c r="BY242" s="233"/>
      <c r="BZ242" s="233"/>
      <c r="CG242" s="233"/>
      <c r="CH242" s="233"/>
      <c r="CI242" s="233"/>
      <c r="CJ242" s="233"/>
      <c r="CK242" s="233"/>
      <c r="CL242" s="233"/>
      <c r="CM242" s="233"/>
      <c r="CN242" s="233"/>
      <c r="CO242" s="233"/>
      <c r="CP242" s="233"/>
      <c r="CQ242" s="233"/>
      <c r="CR242" s="233"/>
      <c r="CS242" s="233"/>
      <c r="CT242" s="233"/>
      <c r="CU242" s="233"/>
      <c r="CV242" s="233"/>
      <c r="CW242" s="233"/>
      <c r="CX242" s="233"/>
      <c r="CY242" s="233"/>
      <c r="CZ242" s="233"/>
      <c r="DA242" s="233"/>
      <c r="DB242" s="233"/>
      <c r="DC242" s="233"/>
      <c r="DD242" s="233"/>
    </row>
    <row r="243" spans="59:108" x14ac:dyDescent="0.25">
      <c r="BG243" s="233"/>
      <c r="BH243" s="233"/>
      <c r="BI243" s="408"/>
      <c r="BJ243" s="408"/>
      <c r="BK243" s="408"/>
      <c r="BL243" s="408"/>
      <c r="BM243" s="408"/>
      <c r="BN243" s="233"/>
      <c r="BO243" s="233"/>
      <c r="BP243" s="233"/>
      <c r="BQ243" s="233"/>
      <c r="BR243" s="233"/>
      <c r="BS243" s="233"/>
      <c r="BT243" s="233"/>
      <c r="BU243" s="233"/>
      <c r="BV243" s="233"/>
      <c r="BW243" s="233"/>
      <c r="BX243" s="233"/>
      <c r="BY243" s="233"/>
      <c r="BZ243" s="233"/>
      <c r="CG243" s="233"/>
      <c r="CH243" s="233"/>
      <c r="CI243" s="233"/>
      <c r="CJ243" s="233"/>
      <c r="CK243" s="233"/>
      <c r="CL243" s="233"/>
      <c r="CM243" s="233"/>
      <c r="CN243" s="233"/>
      <c r="CO243" s="233"/>
      <c r="CP243" s="233"/>
      <c r="CQ243" s="233"/>
      <c r="CR243" s="233"/>
      <c r="CS243" s="233"/>
      <c r="CT243" s="233"/>
      <c r="CU243" s="233"/>
      <c r="CV243" s="233"/>
      <c r="CW243" s="233"/>
      <c r="CX243" s="233"/>
      <c r="CY243" s="233"/>
      <c r="CZ243" s="233"/>
      <c r="DA243" s="233"/>
      <c r="DB243" s="233"/>
      <c r="DC243" s="233"/>
      <c r="DD243" s="233"/>
    </row>
    <row r="244" spans="59:108" x14ac:dyDescent="0.25">
      <c r="BG244" s="233"/>
      <c r="BH244" s="233"/>
      <c r="BI244" s="408"/>
      <c r="BJ244" s="408"/>
      <c r="BK244" s="408"/>
      <c r="BL244" s="408"/>
      <c r="BM244" s="408"/>
      <c r="BN244" s="233"/>
      <c r="BO244" s="233"/>
      <c r="BP244" s="233"/>
      <c r="BQ244" s="233"/>
      <c r="BR244" s="233"/>
      <c r="BS244" s="233"/>
      <c r="BT244" s="233"/>
      <c r="BU244" s="233"/>
      <c r="BV244" s="233"/>
      <c r="BW244" s="233"/>
      <c r="BX244" s="233"/>
      <c r="BY244" s="233"/>
      <c r="BZ244" s="233"/>
      <c r="CG244" s="233"/>
      <c r="CH244" s="233"/>
      <c r="CI244" s="233"/>
      <c r="CJ244" s="233"/>
      <c r="CK244" s="233"/>
      <c r="CL244" s="233"/>
      <c r="CM244" s="233"/>
      <c r="CN244" s="233"/>
      <c r="CO244" s="233"/>
      <c r="CP244" s="233"/>
      <c r="CQ244" s="233"/>
      <c r="CR244" s="233"/>
      <c r="CS244" s="233"/>
      <c r="CT244" s="233"/>
      <c r="CU244" s="233"/>
      <c r="CV244" s="233"/>
      <c r="CW244" s="233"/>
      <c r="CX244" s="233"/>
      <c r="CY244" s="233"/>
      <c r="CZ244" s="233"/>
      <c r="DA244" s="233"/>
      <c r="DB244" s="233"/>
      <c r="DC244" s="233"/>
      <c r="DD244" s="233"/>
    </row>
    <row r="245" spans="59:108" ht="15" customHeight="1" x14ac:dyDescent="0.25">
      <c r="BG245" s="233"/>
      <c r="BH245" s="233"/>
      <c r="BI245" s="408"/>
      <c r="BJ245" s="408"/>
      <c r="BK245" s="408"/>
      <c r="BL245" s="408"/>
      <c r="BM245" s="408"/>
      <c r="BN245" s="233"/>
      <c r="BO245" s="233"/>
      <c r="BP245" s="233"/>
      <c r="BQ245" s="233"/>
      <c r="BR245" s="233"/>
      <c r="BS245" s="233"/>
      <c r="BT245" s="233"/>
      <c r="BU245" s="233"/>
      <c r="BV245" s="233"/>
      <c r="BW245" s="233"/>
      <c r="BX245" s="233"/>
      <c r="BY245" s="233"/>
      <c r="BZ245" s="233"/>
      <c r="CG245" s="233"/>
      <c r="CH245" s="233"/>
      <c r="CI245" s="233"/>
      <c r="CJ245" s="233"/>
      <c r="CK245" s="233"/>
      <c r="CL245" s="233"/>
      <c r="CM245" s="233"/>
      <c r="CN245" s="233"/>
      <c r="CO245" s="233"/>
      <c r="CP245" s="233"/>
      <c r="CQ245" s="233"/>
      <c r="CR245" s="233"/>
      <c r="CS245" s="233"/>
      <c r="CT245" s="233"/>
      <c r="CU245" s="233"/>
      <c r="CV245" s="233"/>
      <c r="CW245" s="233"/>
      <c r="CX245" s="233"/>
      <c r="CY245" s="233"/>
      <c r="CZ245" s="233"/>
      <c r="DA245" s="233"/>
      <c r="DB245" s="233"/>
      <c r="DC245" s="233"/>
      <c r="DD245" s="233"/>
    </row>
    <row r="246" spans="59:108" x14ac:dyDescent="0.25">
      <c r="BG246" s="233"/>
      <c r="BH246" s="233"/>
      <c r="BI246" s="408"/>
      <c r="BJ246" s="408"/>
      <c r="BK246" s="408"/>
      <c r="BL246" s="408"/>
      <c r="BM246" s="408"/>
      <c r="BN246" s="233"/>
      <c r="BO246" s="233"/>
      <c r="BP246" s="233"/>
      <c r="BQ246" s="233"/>
      <c r="BR246" s="233"/>
      <c r="BS246" s="233"/>
      <c r="BT246" s="233"/>
      <c r="BU246" s="233"/>
      <c r="BV246" s="233"/>
      <c r="BW246" s="233"/>
      <c r="BX246" s="233"/>
      <c r="BY246" s="233"/>
      <c r="BZ246" s="233"/>
      <c r="CG246" s="233"/>
      <c r="CH246" s="233"/>
      <c r="CI246" s="233"/>
      <c r="CJ246" s="233"/>
      <c r="CK246" s="233"/>
      <c r="CL246" s="233"/>
      <c r="CM246" s="233"/>
      <c r="CN246" s="233"/>
      <c r="CO246" s="233"/>
      <c r="CP246" s="233"/>
      <c r="CQ246" s="233"/>
      <c r="CR246" s="233"/>
      <c r="CS246" s="233"/>
      <c r="CT246" s="233"/>
      <c r="CU246" s="233"/>
      <c r="CV246" s="233"/>
      <c r="CW246" s="233"/>
      <c r="CX246" s="233"/>
      <c r="CY246" s="233"/>
      <c r="CZ246" s="233"/>
      <c r="DA246" s="233"/>
      <c r="DB246" s="233"/>
      <c r="DC246" s="233"/>
      <c r="DD246" s="233"/>
    </row>
    <row r="247" spans="59:108" x14ac:dyDescent="0.25">
      <c r="BG247" s="233"/>
      <c r="BH247" s="233"/>
      <c r="BI247" s="408"/>
      <c r="BJ247" s="408"/>
      <c r="BK247" s="408"/>
      <c r="BL247" s="408"/>
      <c r="BM247" s="408"/>
      <c r="BN247" s="233"/>
      <c r="BO247" s="233"/>
      <c r="BP247" s="233"/>
      <c r="BQ247" s="233"/>
      <c r="BR247" s="233"/>
      <c r="BS247" s="233"/>
      <c r="BT247" s="233"/>
      <c r="BU247" s="233"/>
      <c r="BV247" s="233"/>
      <c r="BW247" s="233"/>
      <c r="BX247" s="233"/>
      <c r="BY247" s="233"/>
      <c r="BZ247" s="233"/>
      <c r="CG247" s="233"/>
      <c r="CH247" s="233"/>
      <c r="CI247" s="233"/>
      <c r="CJ247" s="233"/>
      <c r="CK247" s="233"/>
      <c r="CL247" s="233"/>
      <c r="CM247" s="233"/>
      <c r="CN247" s="233"/>
      <c r="CO247" s="233"/>
      <c r="CP247" s="233"/>
      <c r="CQ247" s="233"/>
      <c r="CR247" s="233"/>
      <c r="CS247" s="233"/>
      <c r="CT247" s="233"/>
      <c r="CU247" s="233"/>
      <c r="CV247" s="233"/>
      <c r="CW247" s="233"/>
      <c r="CX247" s="233"/>
      <c r="CY247" s="233"/>
      <c r="CZ247" s="233"/>
      <c r="DA247" s="233"/>
      <c r="DB247" s="233"/>
      <c r="DC247" s="233"/>
      <c r="DD247" s="233"/>
    </row>
    <row r="248" spans="59:108" x14ac:dyDescent="0.25">
      <c r="BG248" s="233"/>
      <c r="BH248" s="233"/>
      <c r="BI248" s="408"/>
      <c r="BJ248" s="408"/>
      <c r="BK248" s="408"/>
      <c r="BL248" s="408"/>
      <c r="BM248" s="408"/>
      <c r="BN248" s="233"/>
      <c r="BO248" s="233"/>
      <c r="BP248" s="233"/>
      <c r="BQ248" s="233"/>
      <c r="BR248" s="233"/>
      <c r="BS248" s="233"/>
      <c r="BT248" s="233"/>
      <c r="BU248" s="233"/>
      <c r="BV248" s="233"/>
      <c r="BW248" s="233"/>
      <c r="BX248" s="233"/>
      <c r="BY248" s="233"/>
      <c r="BZ248" s="233"/>
      <c r="CG248" s="233"/>
      <c r="CH248" s="233"/>
      <c r="CI248" s="233"/>
      <c r="CJ248" s="233"/>
      <c r="CK248" s="233"/>
      <c r="CL248" s="233"/>
      <c r="CM248" s="233"/>
      <c r="CN248" s="233"/>
      <c r="CO248" s="233"/>
      <c r="CP248" s="233"/>
      <c r="CQ248" s="233"/>
      <c r="CR248" s="233"/>
      <c r="CS248" s="233"/>
      <c r="CT248" s="233"/>
      <c r="CU248" s="233"/>
      <c r="CV248" s="233"/>
      <c r="CW248" s="233"/>
      <c r="CX248" s="233"/>
      <c r="CY248" s="233"/>
      <c r="CZ248" s="233"/>
      <c r="DA248" s="233"/>
      <c r="DB248" s="233"/>
      <c r="DC248" s="233"/>
      <c r="DD248" s="233"/>
    </row>
    <row r="249" spans="59:108" x14ac:dyDescent="0.25">
      <c r="BG249" s="233"/>
      <c r="BH249" s="233"/>
      <c r="BI249" s="408"/>
      <c r="BJ249" s="408"/>
      <c r="BK249" s="408"/>
      <c r="BL249" s="408"/>
      <c r="BM249" s="408"/>
      <c r="BN249" s="233"/>
      <c r="BO249" s="233"/>
      <c r="BP249" s="233"/>
      <c r="BQ249" s="233"/>
      <c r="BR249" s="233"/>
      <c r="BS249" s="233"/>
      <c r="BT249" s="233"/>
      <c r="BU249" s="233"/>
      <c r="BV249" s="233"/>
      <c r="BW249" s="233"/>
      <c r="BX249" s="233"/>
      <c r="BY249" s="233"/>
      <c r="BZ249" s="233"/>
      <c r="CG249" s="233"/>
      <c r="CH249" s="233"/>
      <c r="CI249" s="233"/>
      <c r="CJ249" s="233"/>
      <c r="CK249" s="233"/>
      <c r="CL249" s="233"/>
      <c r="CM249" s="233"/>
      <c r="CN249" s="233"/>
      <c r="CO249" s="233"/>
      <c r="CP249" s="233"/>
      <c r="CQ249" s="233"/>
      <c r="CR249" s="233"/>
      <c r="CS249" s="233"/>
      <c r="CT249" s="233"/>
      <c r="CU249" s="233"/>
      <c r="CV249" s="233"/>
      <c r="CW249" s="233"/>
      <c r="CX249" s="233"/>
      <c r="CY249" s="233"/>
      <c r="CZ249" s="233"/>
      <c r="DA249" s="233"/>
      <c r="DB249" s="233"/>
      <c r="DC249" s="233"/>
      <c r="DD249" s="233"/>
    </row>
    <row r="250" spans="59:108" x14ac:dyDescent="0.25">
      <c r="BG250" s="233"/>
      <c r="BH250" s="233"/>
      <c r="BI250" s="408"/>
      <c r="BJ250" s="408"/>
      <c r="BK250" s="408"/>
      <c r="BL250" s="408"/>
      <c r="BM250" s="408"/>
      <c r="BN250" s="233"/>
      <c r="BO250" s="233"/>
      <c r="BP250" s="233"/>
      <c r="BQ250" s="233"/>
      <c r="BR250" s="233"/>
      <c r="BS250" s="233"/>
      <c r="BT250" s="233"/>
      <c r="BU250" s="233"/>
      <c r="BV250" s="233"/>
      <c r="BW250" s="233"/>
      <c r="BX250" s="233"/>
      <c r="BY250" s="233"/>
      <c r="BZ250" s="233"/>
      <c r="CG250" s="233"/>
      <c r="CH250" s="233"/>
      <c r="CI250" s="233"/>
      <c r="CJ250" s="233"/>
      <c r="CK250" s="233"/>
      <c r="CL250" s="233"/>
      <c r="CM250" s="233"/>
      <c r="CN250" s="233"/>
      <c r="CO250" s="233"/>
      <c r="CP250" s="233"/>
      <c r="CQ250" s="233"/>
      <c r="CR250" s="233"/>
      <c r="CS250" s="233"/>
      <c r="CT250" s="233"/>
      <c r="CU250" s="233"/>
      <c r="CV250" s="233"/>
      <c r="CW250" s="233"/>
      <c r="CX250" s="233"/>
      <c r="CY250" s="233"/>
      <c r="CZ250" s="233"/>
      <c r="DA250" s="233"/>
      <c r="DB250" s="233"/>
      <c r="DC250" s="233"/>
      <c r="DD250" s="233"/>
    </row>
    <row r="251" spans="59:108" x14ac:dyDescent="0.25">
      <c r="BG251" s="233"/>
      <c r="BH251" s="233"/>
      <c r="BI251" s="408"/>
      <c r="BJ251" s="408"/>
      <c r="BK251" s="408"/>
      <c r="BL251" s="408"/>
      <c r="BM251" s="408"/>
      <c r="BN251" s="233"/>
      <c r="BO251" s="233"/>
      <c r="BP251" s="233"/>
      <c r="BQ251" s="233"/>
      <c r="BR251" s="233"/>
      <c r="BS251" s="233"/>
      <c r="BT251" s="233"/>
      <c r="BU251" s="233"/>
      <c r="BV251" s="233"/>
      <c r="BW251" s="233"/>
      <c r="BX251" s="233"/>
      <c r="BY251" s="233"/>
      <c r="BZ251" s="233"/>
      <c r="CG251" s="233"/>
      <c r="CH251" s="233"/>
      <c r="CI251" s="233"/>
      <c r="CJ251" s="233"/>
      <c r="CK251" s="233"/>
      <c r="CL251" s="233"/>
      <c r="CM251" s="233"/>
      <c r="CN251" s="233"/>
      <c r="CO251" s="233"/>
      <c r="CP251" s="233"/>
      <c r="CQ251" s="233"/>
      <c r="CR251" s="233"/>
      <c r="CS251" s="233"/>
      <c r="CT251" s="233"/>
      <c r="CU251" s="233"/>
      <c r="CV251" s="233"/>
      <c r="CW251" s="233"/>
      <c r="CX251" s="233"/>
      <c r="CY251" s="233"/>
      <c r="CZ251" s="233"/>
      <c r="DA251" s="233"/>
      <c r="DB251" s="233"/>
      <c r="DC251" s="233"/>
      <c r="DD251" s="233"/>
    </row>
    <row r="252" spans="59:108" x14ac:dyDescent="0.25">
      <c r="BG252" s="233"/>
      <c r="BH252" s="233"/>
      <c r="BI252" s="408"/>
      <c r="BJ252" s="408"/>
      <c r="BK252" s="408"/>
      <c r="BL252" s="408"/>
      <c r="BM252" s="408"/>
      <c r="BN252" s="233"/>
      <c r="BO252" s="233"/>
      <c r="BP252" s="233"/>
      <c r="BQ252" s="233"/>
      <c r="BR252" s="233"/>
      <c r="BS252" s="233"/>
      <c r="BT252" s="233"/>
      <c r="BU252" s="233"/>
      <c r="BV252" s="233"/>
      <c r="BW252" s="233"/>
      <c r="BX252" s="233"/>
      <c r="BY252" s="233"/>
      <c r="BZ252" s="233"/>
      <c r="CG252" s="233"/>
      <c r="CH252" s="233"/>
      <c r="CI252" s="233"/>
      <c r="CJ252" s="233"/>
      <c r="CK252" s="233"/>
      <c r="CL252" s="233"/>
      <c r="CM252" s="233"/>
      <c r="CN252" s="233"/>
      <c r="CO252" s="233"/>
      <c r="CP252" s="233"/>
      <c r="CQ252" s="233"/>
      <c r="CR252" s="233"/>
      <c r="CS252" s="233"/>
      <c r="CT252" s="233"/>
      <c r="CU252" s="233"/>
      <c r="CV252" s="233"/>
      <c r="CW252" s="233"/>
      <c r="CX252" s="233"/>
      <c r="CY252" s="233"/>
      <c r="CZ252" s="233"/>
      <c r="DA252" s="233"/>
      <c r="DB252" s="233"/>
      <c r="DC252" s="233"/>
      <c r="DD252" s="233"/>
    </row>
    <row r="253" spans="59:108" x14ac:dyDescent="0.25">
      <c r="BG253" s="233"/>
      <c r="BH253" s="233"/>
      <c r="BI253" s="408"/>
      <c r="BJ253" s="408"/>
      <c r="BK253" s="408"/>
      <c r="BL253" s="408"/>
      <c r="BM253" s="408"/>
      <c r="BN253" s="233"/>
      <c r="BO253" s="233"/>
      <c r="BP253" s="233"/>
      <c r="BQ253" s="233"/>
      <c r="BR253" s="233"/>
      <c r="BS253" s="233"/>
      <c r="BT253" s="233"/>
      <c r="BU253" s="233"/>
      <c r="BV253" s="233"/>
      <c r="BW253" s="233"/>
      <c r="BX253" s="233"/>
      <c r="BY253" s="233"/>
      <c r="BZ253" s="233"/>
      <c r="CG253" s="233"/>
      <c r="CH253" s="233"/>
      <c r="CI253" s="233"/>
      <c r="CJ253" s="233"/>
      <c r="CK253" s="233"/>
      <c r="CL253" s="233"/>
      <c r="CM253" s="233"/>
      <c r="CN253" s="233"/>
      <c r="CO253" s="233"/>
      <c r="CP253" s="233"/>
      <c r="CQ253" s="233"/>
      <c r="CR253" s="233"/>
      <c r="CS253" s="233"/>
      <c r="CT253" s="233"/>
      <c r="CU253" s="233"/>
      <c r="CV253" s="233"/>
      <c r="CW253" s="233"/>
      <c r="CX253" s="233"/>
      <c r="CY253" s="233"/>
      <c r="CZ253" s="233"/>
      <c r="DA253" s="233"/>
      <c r="DB253" s="233"/>
      <c r="DC253" s="233"/>
      <c r="DD253" s="233"/>
    </row>
    <row r="254" spans="59:108" x14ac:dyDescent="0.25">
      <c r="BG254" s="233"/>
      <c r="BH254" s="233"/>
      <c r="BI254" s="408"/>
      <c r="BJ254" s="408"/>
      <c r="BK254" s="408"/>
      <c r="BL254" s="408"/>
      <c r="BM254" s="408"/>
      <c r="BN254" s="233"/>
      <c r="BO254" s="233"/>
      <c r="BP254" s="233"/>
      <c r="BQ254" s="233"/>
      <c r="BR254" s="233"/>
      <c r="BS254" s="233"/>
      <c r="BT254" s="233"/>
      <c r="BU254" s="233"/>
      <c r="BV254" s="233"/>
      <c r="BW254" s="233"/>
      <c r="BX254" s="233"/>
      <c r="BY254" s="233"/>
      <c r="BZ254" s="233"/>
      <c r="CG254" s="233"/>
      <c r="CH254" s="233"/>
      <c r="CI254" s="233"/>
      <c r="CJ254" s="233"/>
      <c r="CK254" s="233"/>
      <c r="CL254" s="233"/>
      <c r="CM254" s="233"/>
      <c r="CN254" s="233"/>
      <c r="CO254" s="233"/>
      <c r="CP254" s="233"/>
      <c r="CQ254" s="233"/>
      <c r="CR254" s="233"/>
      <c r="CS254" s="233"/>
      <c r="CT254" s="233"/>
      <c r="CU254" s="233"/>
      <c r="CV254" s="233"/>
      <c r="CW254" s="233"/>
      <c r="CX254" s="233"/>
      <c r="CY254" s="233"/>
      <c r="CZ254" s="233"/>
      <c r="DA254" s="233"/>
      <c r="DB254" s="233"/>
      <c r="DC254" s="233"/>
      <c r="DD254" s="233"/>
    </row>
    <row r="255" spans="59:108" x14ac:dyDescent="0.25">
      <c r="BG255" s="233"/>
      <c r="BH255" s="233"/>
      <c r="BI255" s="408"/>
      <c r="BJ255" s="408"/>
      <c r="BK255" s="408"/>
      <c r="BL255" s="408"/>
      <c r="BM255" s="408"/>
      <c r="BN255" s="233"/>
      <c r="BO255" s="233"/>
      <c r="BP255" s="233"/>
      <c r="BQ255" s="233"/>
      <c r="BR255" s="233"/>
      <c r="BS255" s="233"/>
      <c r="BT255" s="233"/>
      <c r="BU255" s="233"/>
      <c r="BV255" s="233"/>
      <c r="BW255" s="233"/>
      <c r="BX255" s="233"/>
      <c r="BY255" s="233"/>
      <c r="BZ255" s="233"/>
      <c r="CG255" s="233"/>
      <c r="CH255" s="233"/>
      <c r="CI255" s="233"/>
      <c r="CJ255" s="233"/>
      <c r="CK255" s="233"/>
      <c r="CL255" s="233"/>
      <c r="CM255" s="233"/>
      <c r="CN255" s="233"/>
      <c r="CO255" s="233"/>
      <c r="CP255" s="233"/>
      <c r="CQ255" s="233"/>
      <c r="CR255" s="233"/>
      <c r="CS255" s="233"/>
      <c r="CT255" s="233"/>
      <c r="CU255" s="233"/>
      <c r="CV255" s="233"/>
      <c r="CW255" s="233"/>
      <c r="CX255" s="233"/>
      <c r="CY255" s="233"/>
      <c r="CZ255" s="233"/>
      <c r="DA255" s="233"/>
      <c r="DB255" s="233"/>
      <c r="DC255" s="233"/>
      <c r="DD255" s="233"/>
    </row>
    <row r="256" spans="59:108" x14ac:dyDescent="0.25">
      <c r="BG256" s="233"/>
      <c r="BH256" s="233"/>
      <c r="BI256" s="408"/>
      <c r="BJ256" s="408"/>
      <c r="BK256" s="408"/>
      <c r="BL256" s="408"/>
      <c r="BM256" s="408"/>
      <c r="BN256" s="233"/>
      <c r="BO256" s="233"/>
      <c r="BP256" s="233"/>
      <c r="BQ256" s="233"/>
      <c r="BR256" s="233"/>
      <c r="BS256" s="233"/>
      <c r="BT256" s="233"/>
      <c r="BU256" s="233"/>
      <c r="BV256" s="233"/>
      <c r="BW256" s="233"/>
      <c r="BX256" s="233"/>
      <c r="BY256" s="233"/>
      <c r="BZ256" s="233"/>
      <c r="CG256" s="233"/>
      <c r="CH256" s="233"/>
      <c r="CI256" s="233"/>
      <c r="CJ256" s="233"/>
      <c r="CK256" s="233"/>
      <c r="CL256" s="233"/>
      <c r="CM256" s="233"/>
      <c r="CN256" s="233"/>
      <c r="CO256" s="233"/>
      <c r="CP256" s="233"/>
      <c r="CQ256" s="233"/>
      <c r="CR256" s="233"/>
      <c r="CS256" s="233"/>
      <c r="CT256" s="233"/>
      <c r="CU256" s="233"/>
      <c r="CV256" s="233"/>
      <c r="CW256" s="233"/>
      <c r="CX256" s="233"/>
      <c r="CY256" s="233"/>
      <c r="CZ256" s="233"/>
      <c r="DA256" s="233"/>
      <c r="DB256" s="233"/>
      <c r="DC256" s="233"/>
      <c r="DD256" s="233"/>
    </row>
    <row r="257" spans="59:108" x14ac:dyDescent="0.25">
      <c r="BG257" s="233"/>
      <c r="BH257" s="233"/>
      <c r="BI257" s="408"/>
      <c r="BJ257" s="408"/>
      <c r="BK257" s="408"/>
      <c r="BL257" s="408"/>
      <c r="BM257" s="408"/>
      <c r="BN257" s="233"/>
      <c r="BO257" s="233"/>
      <c r="BP257" s="233"/>
      <c r="BQ257" s="233"/>
      <c r="BR257" s="233"/>
      <c r="BS257" s="233"/>
      <c r="BT257" s="233"/>
      <c r="BU257" s="233"/>
      <c r="BV257" s="233"/>
      <c r="BW257" s="233"/>
      <c r="BX257" s="233"/>
      <c r="BY257" s="233"/>
      <c r="BZ257" s="233"/>
      <c r="CG257" s="233"/>
      <c r="CH257" s="233"/>
      <c r="CI257" s="233"/>
      <c r="CJ257" s="233"/>
      <c r="CK257" s="233"/>
      <c r="CL257" s="233"/>
      <c r="CM257" s="233"/>
      <c r="CN257" s="233"/>
      <c r="CO257" s="233"/>
      <c r="CP257" s="233"/>
      <c r="CQ257" s="233"/>
      <c r="CR257" s="233"/>
      <c r="CS257" s="233"/>
      <c r="CT257" s="233"/>
      <c r="CU257" s="233"/>
      <c r="CV257" s="233"/>
      <c r="CW257" s="233"/>
      <c r="CX257" s="233"/>
      <c r="CY257" s="233"/>
      <c r="CZ257" s="233"/>
      <c r="DA257" s="233"/>
      <c r="DB257" s="233"/>
      <c r="DC257" s="233"/>
      <c r="DD257" s="233"/>
    </row>
    <row r="258" spans="59:108" x14ac:dyDescent="0.25">
      <c r="BG258" s="233"/>
      <c r="BH258" s="233"/>
      <c r="BI258" s="408"/>
      <c r="BJ258" s="408"/>
      <c r="BK258" s="408"/>
      <c r="BL258" s="408"/>
      <c r="BM258" s="408"/>
      <c r="BN258" s="233"/>
      <c r="BO258" s="233"/>
      <c r="BP258" s="233"/>
      <c r="BQ258" s="233"/>
      <c r="BR258" s="233"/>
      <c r="BS258" s="233"/>
      <c r="BT258" s="233"/>
      <c r="BU258" s="233"/>
      <c r="BV258" s="233"/>
      <c r="BW258" s="233"/>
      <c r="BX258" s="233"/>
      <c r="BY258" s="233"/>
      <c r="BZ258" s="233"/>
      <c r="CG258" s="233"/>
      <c r="CH258" s="233"/>
      <c r="CI258" s="233"/>
      <c r="CJ258" s="233"/>
      <c r="CK258" s="233"/>
      <c r="CL258" s="233"/>
      <c r="CM258" s="233"/>
      <c r="CN258" s="233"/>
      <c r="CO258" s="233"/>
      <c r="CP258" s="233"/>
      <c r="CQ258" s="233"/>
      <c r="CR258" s="233"/>
      <c r="CS258" s="233"/>
      <c r="CT258" s="233"/>
      <c r="CU258" s="233"/>
      <c r="CV258" s="233"/>
      <c r="CW258" s="233"/>
      <c r="CX258" s="233"/>
      <c r="CY258" s="233"/>
      <c r="CZ258" s="233"/>
      <c r="DA258" s="233"/>
      <c r="DB258" s="233"/>
      <c r="DC258" s="233"/>
      <c r="DD258" s="233"/>
    </row>
    <row r="259" spans="59:108" x14ac:dyDescent="0.25">
      <c r="BG259" s="233"/>
      <c r="BH259" s="233"/>
      <c r="BI259" s="408"/>
      <c r="BJ259" s="408"/>
      <c r="BK259" s="408"/>
      <c r="BL259" s="408"/>
      <c r="BM259" s="408"/>
      <c r="BN259" s="233"/>
      <c r="BO259" s="233"/>
      <c r="BP259" s="233"/>
      <c r="BQ259" s="233"/>
      <c r="BR259" s="233"/>
      <c r="BS259" s="233"/>
      <c r="BT259" s="233"/>
      <c r="BU259" s="233"/>
      <c r="BV259" s="233"/>
      <c r="BW259" s="233"/>
      <c r="BX259" s="233"/>
      <c r="BY259" s="233"/>
      <c r="BZ259" s="233"/>
      <c r="CG259" s="233"/>
      <c r="CH259" s="233"/>
      <c r="CI259" s="233"/>
      <c r="CJ259" s="233"/>
      <c r="CK259" s="233"/>
      <c r="CL259" s="233"/>
      <c r="CM259" s="233"/>
      <c r="CN259" s="233"/>
      <c r="CO259" s="233"/>
      <c r="CP259" s="233"/>
      <c r="CQ259" s="233"/>
      <c r="CR259" s="233"/>
      <c r="CS259" s="233"/>
      <c r="CT259" s="233"/>
      <c r="CU259" s="233"/>
      <c r="CV259" s="233"/>
      <c r="CW259" s="233"/>
      <c r="CX259" s="233"/>
      <c r="CY259" s="233"/>
      <c r="CZ259" s="233"/>
      <c r="DA259" s="233"/>
      <c r="DB259" s="233"/>
      <c r="DC259" s="233"/>
      <c r="DD259" s="233"/>
    </row>
    <row r="260" spans="59:108" x14ac:dyDescent="0.25">
      <c r="BG260" s="233"/>
      <c r="BH260" s="233"/>
      <c r="BI260" s="408"/>
      <c r="BJ260" s="408"/>
      <c r="BK260" s="408"/>
      <c r="BL260" s="408"/>
      <c r="BM260" s="408"/>
      <c r="BN260" s="233"/>
      <c r="BO260" s="233"/>
      <c r="BP260" s="233"/>
      <c r="BQ260" s="233"/>
      <c r="BR260" s="233"/>
      <c r="BS260" s="233"/>
      <c r="BT260" s="233"/>
      <c r="BU260" s="233"/>
      <c r="BV260" s="233"/>
      <c r="BW260" s="233"/>
      <c r="BX260" s="233"/>
      <c r="BY260" s="233"/>
      <c r="BZ260" s="233"/>
      <c r="CG260" s="233"/>
      <c r="CH260" s="233"/>
      <c r="CI260" s="233"/>
      <c r="CJ260" s="233"/>
      <c r="CK260" s="233"/>
      <c r="CL260" s="233"/>
      <c r="CM260" s="233"/>
      <c r="CN260" s="233"/>
      <c r="CO260" s="233"/>
      <c r="CP260" s="233"/>
      <c r="CQ260" s="233"/>
      <c r="CR260" s="233"/>
      <c r="CS260" s="233"/>
      <c r="CT260" s="233"/>
      <c r="CU260" s="233"/>
      <c r="CV260" s="233"/>
      <c r="CW260" s="233"/>
      <c r="CX260" s="233"/>
      <c r="CY260" s="233"/>
      <c r="CZ260" s="233"/>
      <c r="DA260" s="233"/>
      <c r="DB260" s="233"/>
      <c r="DC260" s="233"/>
      <c r="DD260" s="233"/>
    </row>
    <row r="261" spans="59:108" x14ac:dyDescent="0.25">
      <c r="BG261" s="233"/>
      <c r="BH261" s="233"/>
      <c r="BI261" s="408"/>
      <c r="BJ261" s="408"/>
      <c r="BK261" s="408"/>
      <c r="BL261" s="408"/>
      <c r="BM261" s="408"/>
      <c r="BN261" s="233"/>
      <c r="BO261" s="233"/>
      <c r="BP261" s="233"/>
      <c r="BQ261" s="233"/>
      <c r="BR261" s="233"/>
      <c r="BS261" s="233"/>
      <c r="BT261" s="233"/>
      <c r="BU261" s="233"/>
      <c r="BV261" s="233"/>
      <c r="BW261" s="233"/>
      <c r="BX261" s="233"/>
      <c r="BY261" s="233"/>
      <c r="BZ261" s="29"/>
      <c r="CG261" s="29"/>
      <c r="CH261" s="29"/>
      <c r="CI261" s="29"/>
      <c r="CJ261" s="29"/>
      <c r="CK261" s="29"/>
      <c r="CL261" s="29"/>
      <c r="CM261" s="233"/>
      <c r="CN261" s="233"/>
      <c r="CO261" s="233"/>
      <c r="CP261" s="233"/>
      <c r="CQ261" s="233"/>
      <c r="CR261" s="233"/>
      <c r="CS261" s="233"/>
      <c r="CT261" s="233"/>
      <c r="CU261" s="233"/>
      <c r="CV261" s="233"/>
      <c r="CW261" s="233"/>
      <c r="CX261" s="233"/>
      <c r="CY261" s="233"/>
      <c r="CZ261" s="233"/>
      <c r="DA261" s="233"/>
      <c r="DB261" s="233"/>
      <c r="DC261" s="233"/>
      <c r="DD261" s="233"/>
    </row>
    <row r="262" spans="59:108" x14ac:dyDescent="0.25">
      <c r="BG262" s="233"/>
      <c r="BH262" s="233"/>
      <c r="BI262" s="408"/>
      <c r="BJ262" s="408"/>
      <c r="BK262" s="408"/>
      <c r="BL262" s="408"/>
      <c r="BM262" s="408"/>
      <c r="BN262" s="233"/>
      <c r="BO262" s="233"/>
      <c r="BP262" s="233"/>
      <c r="BQ262" s="233"/>
      <c r="BR262" s="233"/>
      <c r="BS262" s="233"/>
      <c r="BT262" s="233"/>
      <c r="BU262" s="233"/>
      <c r="BV262" s="233"/>
      <c r="BW262" s="233"/>
      <c r="BX262" s="233"/>
      <c r="BY262" s="233"/>
      <c r="BZ262" s="29"/>
      <c r="CG262" s="29"/>
      <c r="CH262" s="29"/>
      <c r="CI262" s="29"/>
      <c r="CJ262" s="29"/>
      <c r="CK262" s="29"/>
      <c r="CL262" s="29"/>
      <c r="CM262" s="233"/>
      <c r="CN262" s="233"/>
      <c r="CO262" s="233"/>
      <c r="CP262" s="233"/>
      <c r="CQ262" s="233"/>
      <c r="CR262" s="233"/>
      <c r="CS262" s="233"/>
      <c r="CT262" s="233"/>
      <c r="CU262" s="233"/>
      <c r="CV262" s="233"/>
      <c r="CW262" s="233"/>
      <c r="CX262" s="233"/>
      <c r="CY262" s="233"/>
      <c r="CZ262" s="233"/>
      <c r="DA262" s="233"/>
      <c r="DB262" s="233"/>
      <c r="DC262" s="233"/>
      <c r="DD262" s="233"/>
    </row>
    <row r="263" spans="59:108" x14ac:dyDescent="0.25">
      <c r="BG263" s="233"/>
      <c r="BH263" s="233"/>
      <c r="BI263" s="408"/>
      <c r="BJ263" s="408"/>
      <c r="BK263" s="408"/>
      <c r="BL263" s="408"/>
      <c r="BM263" s="408"/>
      <c r="BN263" s="233"/>
      <c r="BO263" s="233"/>
      <c r="BP263" s="233"/>
      <c r="BQ263" s="233"/>
      <c r="BR263" s="233"/>
      <c r="BS263" s="233"/>
      <c r="BT263" s="233"/>
      <c r="BU263" s="233"/>
      <c r="BV263" s="233"/>
      <c r="BW263" s="233"/>
      <c r="BX263" s="233"/>
      <c r="BY263" s="233"/>
      <c r="BZ263" s="29"/>
      <c r="CG263" s="29"/>
      <c r="CH263" s="29"/>
      <c r="CI263" s="29"/>
      <c r="CJ263" s="29"/>
      <c r="CK263" s="29"/>
      <c r="CL263" s="29"/>
      <c r="CM263" s="233"/>
      <c r="CN263" s="233"/>
      <c r="CO263" s="233"/>
      <c r="CP263" s="233"/>
      <c r="CQ263" s="233"/>
      <c r="CR263" s="233"/>
      <c r="CS263" s="233"/>
      <c r="CT263" s="233"/>
      <c r="CU263" s="233"/>
      <c r="CV263" s="233"/>
      <c r="CW263" s="233"/>
      <c r="CX263" s="233"/>
      <c r="CY263" s="233"/>
      <c r="CZ263" s="233"/>
      <c r="DA263" s="233"/>
      <c r="DB263" s="233"/>
      <c r="DC263" s="233"/>
      <c r="DD263" s="233"/>
    </row>
    <row r="264" spans="59:108" x14ac:dyDescent="0.25">
      <c r="BG264" s="233"/>
      <c r="BH264" s="233"/>
      <c r="BI264" s="408"/>
      <c r="BJ264" s="408"/>
      <c r="BK264" s="408"/>
      <c r="BL264" s="408"/>
      <c r="BM264" s="408"/>
      <c r="BN264" s="233"/>
      <c r="BO264" s="233"/>
      <c r="BP264" s="233"/>
      <c r="BQ264" s="233"/>
      <c r="BR264" s="233"/>
      <c r="BS264" s="233"/>
      <c r="BT264" s="233"/>
      <c r="BU264" s="233"/>
      <c r="BV264" s="233"/>
      <c r="BW264" s="233"/>
      <c r="BX264" s="233"/>
      <c r="BY264" s="233"/>
      <c r="BZ264" s="29"/>
      <c r="CG264" s="29"/>
      <c r="CH264" s="29"/>
      <c r="CI264" s="29"/>
      <c r="CJ264" s="29"/>
      <c r="CK264" s="29"/>
      <c r="CL264" s="29"/>
      <c r="CM264" s="233"/>
      <c r="CN264" s="233"/>
      <c r="CO264" s="233"/>
      <c r="CP264" s="233"/>
      <c r="CQ264" s="233"/>
      <c r="CR264" s="233"/>
      <c r="CS264" s="233"/>
      <c r="CT264" s="233"/>
      <c r="CU264" s="233"/>
      <c r="CV264" s="233"/>
      <c r="CW264" s="233"/>
      <c r="CX264" s="233"/>
      <c r="CY264" s="233"/>
      <c r="CZ264" s="233"/>
      <c r="DA264" s="233"/>
      <c r="DB264" s="233"/>
      <c r="DC264" s="233"/>
      <c r="DD264" s="233"/>
    </row>
    <row r="265" spans="59:108" x14ac:dyDescent="0.25">
      <c r="BG265" s="233"/>
      <c r="BH265" s="233"/>
      <c r="BI265" s="408"/>
      <c r="BJ265" s="408"/>
      <c r="BK265" s="408"/>
      <c r="BL265" s="408"/>
      <c r="BM265" s="408"/>
      <c r="BN265" s="233"/>
      <c r="BO265" s="233"/>
      <c r="BP265" s="233"/>
      <c r="BQ265" s="233"/>
      <c r="BR265" s="233"/>
      <c r="BS265" s="233"/>
      <c r="BT265" s="233"/>
      <c r="BU265" s="233"/>
      <c r="BV265" s="233"/>
      <c r="BW265" s="233"/>
      <c r="BX265" s="233"/>
      <c r="BY265" s="233"/>
      <c r="BZ265" s="29"/>
      <c r="CG265" s="29"/>
      <c r="CH265" s="29"/>
      <c r="CI265" s="29"/>
      <c r="CJ265" s="29"/>
      <c r="CK265" s="29"/>
      <c r="CL265" s="29"/>
      <c r="CM265" s="233"/>
      <c r="CN265" s="233"/>
      <c r="CO265" s="233"/>
      <c r="CP265" s="233"/>
      <c r="CQ265" s="233"/>
      <c r="CR265" s="233"/>
      <c r="CS265" s="233"/>
      <c r="CT265" s="233"/>
      <c r="CU265" s="233"/>
      <c r="CV265" s="233"/>
      <c r="CW265" s="233"/>
      <c r="CX265" s="233"/>
      <c r="CY265" s="233"/>
      <c r="CZ265" s="233"/>
      <c r="DA265" s="233"/>
      <c r="DB265" s="233"/>
      <c r="DC265" s="233"/>
      <c r="DD265" s="233"/>
    </row>
    <row r="266" spans="59:108" x14ac:dyDescent="0.25">
      <c r="BG266" s="233"/>
      <c r="BH266" s="233"/>
      <c r="BI266" s="408"/>
      <c r="BJ266" s="408"/>
      <c r="BK266" s="408"/>
      <c r="BL266" s="408"/>
      <c r="BM266" s="408"/>
      <c r="BN266" s="233"/>
      <c r="BO266" s="233"/>
      <c r="BP266" s="233"/>
      <c r="BQ266" s="233"/>
      <c r="BR266" s="233"/>
      <c r="BS266" s="233"/>
      <c r="BT266" s="233"/>
      <c r="BU266" s="233"/>
      <c r="BV266" s="233"/>
      <c r="BW266" s="233"/>
      <c r="BX266" s="233"/>
      <c r="BY266" s="233"/>
      <c r="BZ266" s="29"/>
      <c r="CG266" s="29"/>
      <c r="CH266" s="29"/>
      <c r="CI266" s="29"/>
      <c r="CJ266" s="29"/>
      <c r="CK266" s="29"/>
      <c r="CL266" s="29"/>
      <c r="CM266" s="233"/>
      <c r="CN266" s="233"/>
      <c r="CO266" s="233"/>
      <c r="CP266" s="233"/>
      <c r="CQ266" s="233"/>
      <c r="CR266" s="233"/>
      <c r="CS266" s="233"/>
      <c r="CT266" s="233"/>
      <c r="CU266" s="233"/>
      <c r="CV266" s="233"/>
      <c r="CW266" s="233"/>
      <c r="CX266" s="233"/>
      <c r="CY266" s="233"/>
      <c r="CZ266" s="233"/>
      <c r="DA266" s="233"/>
      <c r="DB266" s="233"/>
      <c r="DC266" s="233"/>
      <c r="DD266" s="233"/>
    </row>
    <row r="267" spans="59:108" x14ac:dyDescent="0.25">
      <c r="BG267" s="233"/>
      <c r="BH267" s="233"/>
      <c r="BI267" s="408"/>
      <c r="BJ267" s="408"/>
      <c r="BK267" s="408"/>
      <c r="BL267" s="408"/>
      <c r="BM267" s="408"/>
      <c r="BN267" s="233"/>
      <c r="BO267" s="233"/>
      <c r="BP267" s="233"/>
      <c r="BQ267" s="233"/>
      <c r="BR267" s="233"/>
      <c r="BS267" s="233"/>
      <c r="BT267" s="233"/>
      <c r="BU267" s="233"/>
      <c r="BV267" s="233"/>
      <c r="BW267" s="233"/>
      <c r="BX267" s="233"/>
      <c r="BY267" s="233"/>
      <c r="BZ267" s="29"/>
      <c r="CG267" s="29"/>
      <c r="CH267" s="29"/>
      <c r="CI267" s="29"/>
      <c r="CJ267" s="29"/>
      <c r="CK267" s="29"/>
      <c r="CL267" s="29"/>
      <c r="CM267" s="233"/>
      <c r="CN267" s="233"/>
      <c r="CO267" s="233"/>
      <c r="CP267" s="233"/>
      <c r="CQ267" s="233"/>
      <c r="CR267" s="233"/>
      <c r="CS267" s="233"/>
      <c r="CT267" s="233"/>
      <c r="CU267" s="233"/>
      <c r="CV267" s="233"/>
      <c r="CW267" s="233"/>
      <c r="CX267" s="233"/>
      <c r="CY267" s="233"/>
      <c r="CZ267" s="233"/>
      <c r="DA267" s="233"/>
      <c r="DB267" s="233"/>
      <c r="DC267" s="233"/>
      <c r="DD267" s="233"/>
    </row>
    <row r="268" spans="59:108" x14ac:dyDescent="0.25">
      <c r="BG268" s="233"/>
      <c r="BH268" s="233"/>
      <c r="BI268" s="408"/>
      <c r="BJ268" s="408"/>
      <c r="BK268" s="408"/>
      <c r="BL268" s="408"/>
      <c r="BM268" s="408"/>
      <c r="BN268" s="233"/>
      <c r="BO268" s="233"/>
      <c r="BP268" s="233"/>
      <c r="BQ268" s="233"/>
      <c r="BR268" s="233"/>
      <c r="BS268" s="233"/>
      <c r="BT268" s="233"/>
      <c r="BU268" s="233"/>
      <c r="BV268" s="233"/>
      <c r="BW268" s="233"/>
      <c r="BX268" s="233"/>
      <c r="BY268" s="233"/>
      <c r="BZ268" s="29"/>
      <c r="CG268" s="29"/>
      <c r="CH268" s="29"/>
      <c r="CI268" s="29"/>
      <c r="CJ268" s="29"/>
      <c r="CK268" s="29"/>
      <c r="CL268" s="29"/>
      <c r="CM268" s="233"/>
      <c r="CN268" s="233"/>
      <c r="CO268" s="233"/>
      <c r="CP268" s="233"/>
      <c r="CQ268" s="233"/>
      <c r="CR268" s="233"/>
      <c r="CS268" s="233"/>
      <c r="CT268" s="233"/>
      <c r="CU268" s="233"/>
      <c r="CV268" s="233"/>
      <c r="CW268" s="233"/>
      <c r="CX268" s="233"/>
      <c r="CY268" s="233"/>
      <c r="CZ268" s="233"/>
      <c r="DA268" s="233"/>
      <c r="DB268" s="233"/>
      <c r="DC268" s="233"/>
      <c r="DD268" s="233"/>
    </row>
    <row r="269" spans="59:108" x14ac:dyDescent="0.25">
      <c r="BG269" s="233"/>
      <c r="BH269" s="233"/>
      <c r="BI269" s="408"/>
      <c r="BJ269" s="408"/>
      <c r="BK269" s="408"/>
      <c r="BL269" s="408"/>
      <c r="BM269" s="408"/>
      <c r="BN269" s="233"/>
      <c r="BO269" s="233"/>
      <c r="BP269" s="233"/>
      <c r="BQ269" s="233"/>
      <c r="BR269" s="233"/>
      <c r="BS269" s="233"/>
      <c r="BT269" s="233"/>
      <c r="BU269" s="233"/>
      <c r="BV269" s="233"/>
      <c r="BW269" s="233"/>
      <c r="BX269" s="233"/>
      <c r="BY269" s="233"/>
      <c r="BZ269" s="29"/>
      <c r="CG269" s="29"/>
      <c r="CH269" s="29"/>
      <c r="CI269" s="29"/>
      <c r="CJ269" s="29"/>
      <c r="CK269" s="29"/>
      <c r="CL269" s="29"/>
      <c r="CM269" s="233"/>
      <c r="CN269" s="233"/>
      <c r="CO269" s="233"/>
      <c r="CP269" s="233"/>
      <c r="CQ269" s="233"/>
      <c r="CR269" s="233"/>
      <c r="CS269" s="233"/>
      <c r="CT269" s="233"/>
      <c r="CU269" s="233"/>
      <c r="CV269" s="233"/>
      <c r="CW269" s="233"/>
      <c r="CX269" s="233"/>
      <c r="CY269" s="233"/>
      <c r="CZ269" s="233"/>
      <c r="DA269" s="233"/>
      <c r="DB269" s="233"/>
      <c r="DC269" s="233"/>
      <c r="DD269" s="233"/>
    </row>
    <row r="270" spans="59:108" x14ac:dyDescent="0.25">
      <c r="BG270" s="233"/>
      <c r="BH270" s="233"/>
      <c r="BI270" s="408"/>
      <c r="BJ270" s="408"/>
      <c r="BK270" s="408"/>
      <c r="BL270" s="408"/>
      <c r="BM270" s="408"/>
      <c r="BN270" s="233"/>
      <c r="BO270" s="233"/>
      <c r="BP270" s="233"/>
      <c r="BQ270" s="233"/>
      <c r="BR270" s="233"/>
      <c r="BS270" s="233"/>
      <c r="BT270" s="233"/>
      <c r="BU270" s="233"/>
      <c r="BV270" s="233"/>
      <c r="BW270" s="233"/>
      <c r="BX270" s="233"/>
      <c r="BY270" s="233"/>
      <c r="BZ270" s="29"/>
      <c r="CG270" s="29"/>
      <c r="CH270" s="29"/>
      <c r="CI270" s="29"/>
      <c r="CJ270" s="29"/>
      <c r="CK270" s="29"/>
      <c r="CL270" s="29"/>
      <c r="CM270" s="233"/>
      <c r="CN270" s="233"/>
      <c r="CO270" s="233"/>
      <c r="CP270" s="233"/>
      <c r="CQ270" s="233"/>
      <c r="CR270" s="233"/>
      <c r="CS270" s="233"/>
      <c r="CT270" s="233"/>
      <c r="CU270" s="233"/>
      <c r="CV270" s="233"/>
      <c r="CW270" s="233"/>
      <c r="CX270" s="233"/>
      <c r="CY270" s="233"/>
      <c r="CZ270" s="233"/>
      <c r="DA270" s="233"/>
      <c r="DB270" s="233"/>
      <c r="DC270" s="233"/>
      <c r="DD270" s="233"/>
    </row>
    <row r="271" spans="59:108" x14ac:dyDescent="0.25">
      <c r="BG271" s="233"/>
      <c r="BH271" s="233"/>
      <c r="BI271" s="408"/>
      <c r="BJ271" s="408"/>
      <c r="BK271" s="408"/>
      <c r="BL271" s="408"/>
      <c r="BM271" s="408"/>
      <c r="BN271" s="233"/>
      <c r="BO271" s="233"/>
      <c r="BP271" s="233"/>
      <c r="BQ271" s="233"/>
      <c r="BR271" s="233"/>
      <c r="BS271" s="233"/>
      <c r="BT271" s="233"/>
      <c r="BU271" s="233"/>
      <c r="BV271" s="233"/>
      <c r="BW271" s="233"/>
      <c r="BX271" s="233"/>
      <c r="BY271" s="233"/>
      <c r="BZ271" s="29"/>
      <c r="CG271" s="29"/>
      <c r="CH271" s="29"/>
      <c r="CI271" s="29"/>
      <c r="CJ271" s="29"/>
      <c r="CK271" s="29"/>
      <c r="CL271" s="29"/>
      <c r="CM271" s="233"/>
      <c r="CN271" s="233"/>
      <c r="CO271" s="233"/>
      <c r="CP271" s="233"/>
      <c r="CQ271" s="233"/>
      <c r="CR271" s="233"/>
      <c r="CS271" s="233"/>
      <c r="CT271" s="233"/>
      <c r="CU271" s="233"/>
      <c r="CV271" s="233"/>
      <c r="CW271" s="233"/>
      <c r="CX271" s="233"/>
      <c r="CY271" s="233"/>
      <c r="CZ271" s="233"/>
      <c r="DA271" s="233"/>
      <c r="DB271" s="233"/>
      <c r="DC271" s="233"/>
      <c r="DD271" s="233"/>
    </row>
    <row r="272" spans="59:108" x14ac:dyDescent="0.25">
      <c r="BG272" s="233"/>
      <c r="BH272" s="233"/>
      <c r="BI272" s="408"/>
      <c r="BJ272" s="408"/>
      <c r="BK272" s="408"/>
      <c r="BL272" s="408"/>
      <c r="BM272" s="408"/>
      <c r="BN272" s="233"/>
      <c r="BO272" s="233"/>
      <c r="BP272" s="233"/>
      <c r="BQ272" s="233"/>
      <c r="BR272" s="233"/>
      <c r="BS272" s="233"/>
      <c r="BT272" s="233"/>
      <c r="BU272" s="233"/>
      <c r="BV272" s="233"/>
      <c r="BW272" s="233"/>
      <c r="BX272" s="233"/>
      <c r="BY272" s="233"/>
      <c r="BZ272" s="29"/>
      <c r="CG272" s="29"/>
      <c r="CH272" s="29"/>
      <c r="CI272" s="29"/>
      <c r="CJ272" s="29"/>
      <c r="CK272" s="29"/>
      <c r="CL272" s="29"/>
      <c r="CM272" s="233"/>
      <c r="CN272" s="233"/>
      <c r="CO272" s="233"/>
      <c r="CP272" s="233"/>
      <c r="CQ272" s="233"/>
      <c r="CR272" s="233"/>
      <c r="CS272" s="233"/>
      <c r="CT272" s="233"/>
      <c r="CU272" s="233"/>
      <c r="CV272" s="233"/>
      <c r="CW272" s="233"/>
      <c r="CX272" s="233"/>
      <c r="CY272" s="233"/>
      <c r="CZ272" s="233"/>
      <c r="DA272" s="233"/>
      <c r="DB272" s="233"/>
      <c r="DC272" s="233"/>
      <c r="DD272" s="233"/>
    </row>
    <row r="273" spans="59:108" x14ac:dyDescent="0.25">
      <c r="BG273" s="233"/>
      <c r="BH273" s="233"/>
      <c r="BI273" s="408"/>
      <c r="BJ273" s="408"/>
      <c r="BK273" s="408"/>
      <c r="BL273" s="408"/>
      <c r="BM273" s="408"/>
      <c r="BN273" s="233"/>
      <c r="BO273" s="233"/>
      <c r="BP273" s="233"/>
      <c r="BQ273" s="233"/>
      <c r="BR273" s="233"/>
      <c r="BS273" s="233"/>
      <c r="BT273" s="233"/>
      <c r="BU273" s="233"/>
      <c r="BV273" s="233"/>
      <c r="BW273" s="233"/>
      <c r="BX273" s="233"/>
      <c r="BY273" s="233"/>
      <c r="BZ273" s="29"/>
      <c r="CG273" s="29"/>
      <c r="CH273" s="29"/>
      <c r="CI273" s="29"/>
      <c r="CJ273" s="29"/>
      <c r="CK273" s="29"/>
      <c r="CL273" s="29"/>
      <c r="CM273" s="233"/>
      <c r="CN273" s="233"/>
      <c r="CO273" s="233"/>
      <c r="CP273" s="233"/>
      <c r="CQ273" s="233"/>
      <c r="CR273" s="233"/>
      <c r="CS273" s="233"/>
      <c r="CT273" s="233"/>
      <c r="CU273" s="233"/>
      <c r="CV273" s="233"/>
      <c r="CW273" s="233"/>
      <c r="CX273" s="233"/>
      <c r="CY273" s="233"/>
      <c r="CZ273" s="233"/>
      <c r="DA273" s="233"/>
      <c r="DB273" s="233"/>
      <c r="DC273" s="233"/>
      <c r="DD273" s="233"/>
    </row>
    <row r="274" spans="59:108" x14ac:dyDescent="0.25">
      <c r="BG274" s="233"/>
      <c r="BH274" s="233"/>
      <c r="BI274" s="408"/>
      <c r="BJ274" s="408"/>
      <c r="BK274" s="408"/>
      <c r="BL274" s="408"/>
      <c r="BM274" s="408"/>
      <c r="BN274" s="233"/>
      <c r="BO274" s="233"/>
      <c r="BP274" s="233"/>
      <c r="BQ274" s="233"/>
      <c r="BR274" s="233"/>
      <c r="BS274" s="233"/>
      <c r="BT274" s="233"/>
      <c r="BU274" s="233"/>
      <c r="BV274" s="233"/>
      <c r="BW274" s="233"/>
      <c r="BX274" s="233"/>
      <c r="BY274" s="233"/>
      <c r="BZ274" s="29"/>
      <c r="CG274" s="29"/>
      <c r="CH274" s="29"/>
      <c r="CI274" s="29"/>
      <c r="CJ274" s="29"/>
      <c r="CK274" s="29"/>
      <c r="CL274" s="29"/>
      <c r="CM274" s="233"/>
      <c r="CN274" s="233"/>
      <c r="CO274" s="233"/>
      <c r="CP274" s="233"/>
      <c r="CQ274" s="233"/>
      <c r="CR274" s="233"/>
      <c r="CS274" s="233"/>
      <c r="CT274" s="233"/>
      <c r="CU274" s="233"/>
      <c r="CV274" s="233"/>
      <c r="CW274" s="233"/>
      <c r="CX274" s="233"/>
      <c r="CY274" s="233"/>
      <c r="CZ274" s="233"/>
      <c r="DA274" s="233"/>
      <c r="DB274" s="233"/>
      <c r="DC274" s="233"/>
      <c r="DD274" s="233"/>
    </row>
    <row r="275" spans="59:108" x14ac:dyDescent="0.25">
      <c r="BG275" s="233"/>
      <c r="BH275" s="233"/>
      <c r="BI275" s="408"/>
      <c r="BJ275" s="408"/>
      <c r="BK275" s="408"/>
      <c r="BL275" s="408"/>
      <c r="BM275" s="408"/>
      <c r="BN275" s="233"/>
      <c r="BO275" s="233"/>
      <c r="BP275" s="233"/>
      <c r="BQ275" s="233"/>
      <c r="BR275" s="233"/>
      <c r="BS275" s="233"/>
      <c r="BT275" s="233"/>
      <c r="BU275" s="233"/>
      <c r="BV275" s="233"/>
      <c r="BW275" s="233"/>
      <c r="BX275" s="233"/>
      <c r="BY275" s="233"/>
      <c r="BZ275" s="29"/>
      <c r="CG275" s="29"/>
      <c r="CH275" s="29"/>
      <c r="CI275" s="29"/>
      <c r="CJ275" s="29"/>
      <c r="CK275" s="29"/>
      <c r="CL275" s="29"/>
      <c r="CM275" s="233"/>
      <c r="CN275" s="233"/>
      <c r="CO275" s="233"/>
      <c r="CP275" s="233"/>
      <c r="CQ275" s="233"/>
      <c r="CR275" s="233"/>
      <c r="CS275" s="233"/>
      <c r="CT275" s="233"/>
      <c r="CU275" s="233"/>
      <c r="CV275" s="233"/>
      <c r="CW275" s="233"/>
      <c r="CX275" s="233"/>
      <c r="CY275" s="233"/>
      <c r="CZ275" s="233"/>
      <c r="DA275" s="233"/>
      <c r="DB275" s="233"/>
      <c r="DC275" s="233"/>
      <c r="DD275" s="233"/>
    </row>
    <row r="276" spans="59:108" x14ac:dyDescent="0.25">
      <c r="BG276" s="233"/>
      <c r="BH276" s="233"/>
      <c r="BI276" s="408"/>
      <c r="BJ276" s="408"/>
      <c r="BK276" s="408"/>
      <c r="BL276" s="408"/>
      <c r="BM276" s="408"/>
      <c r="BN276" s="233"/>
      <c r="BO276" s="233"/>
      <c r="BP276" s="233"/>
      <c r="BQ276" s="233"/>
      <c r="BR276" s="233"/>
      <c r="BS276" s="233"/>
      <c r="BT276" s="233"/>
      <c r="BU276" s="233"/>
      <c r="BV276" s="233"/>
      <c r="BW276" s="233"/>
      <c r="BX276" s="233"/>
      <c r="BY276" s="233"/>
      <c r="BZ276" s="29"/>
      <c r="CG276" s="29"/>
      <c r="CH276" s="29"/>
      <c r="CI276" s="29"/>
      <c r="CJ276" s="29"/>
      <c r="CK276" s="29"/>
      <c r="CL276" s="29"/>
      <c r="CM276" s="233"/>
      <c r="CN276" s="233"/>
      <c r="CO276" s="233"/>
      <c r="CP276" s="233"/>
      <c r="CQ276" s="233"/>
      <c r="CR276" s="233"/>
      <c r="CS276" s="233"/>
      <c r="CT276" s="233"/>
      <c r="CU276" s="233"/>
      <c r="CV276" s="233"/>
      <c r="CW276" s="233"/>
      <c r="CX276" s="233"/>
      <c r="CY276" s="233"/>
      <c r="CZ276" s="233"/>
      <c r="DA276" s="233"/>
      <c r="DB276" s="233"/>
      <c r="DC276" s="233"/>
      <c r="DD276" s="233"/>
    </row>
    <row r="277" spans="59:108" x14ac:dyDescent="0.25">
      <c r="BG277" s="233"/>
      <c r="BH277" s="233"/>
      <c r="BI277" s="408"/>
      <c r="BJ277" s="408"/>
      <c r="BK277" s="408"/>
      <c r="BL277" s="408"/>
      <c r="BM277" s="408"/>
      <c r="BN277" s="233"/>
      <c r="BO277" s="233"/>
      <c r="BP277" s="233"/>
      <c r="BQ277" s="233"/>
      <c r="BR277" s="233"/>
      <c r="BS277" s="233"/>
      <c r="BT277" s="233"/>
      <c r="BU277" s="233"/>
      <c r="BV277" s="233"/>
      <c r="BW277" s="233"/>
      <c r="BX277" s="233"/>
      <c r="BY277" s="233"/>
      <c r="BZ277" s="29"/>
      <c r="CG277" s="29"/>
      <c r="CH277" s="29"/>
      <c r="CI277" s="29"/>
      <c r="CJ277" s="29"/>
      <c r="CK277" s="29"/>
      <c r="CL277" s="29"/>
      <c r="CM277" s="233"/>
      <c r="CN277" s="233"/>
      <c r="CO277" s="233"/>
      <c r="CP277" s="233"/>
      <c r="CQ277" s="233"/>
      <c r="CR277" s="233"/>
      <c r="CS277" s="233"/>
      <c r="CT277" s="233"/>
      <c r="CU277" s="233"/>
      <c r="CV277" s="233"/>
      <c r="CW277" s="233"/>
      <c r="CX277" s="233"/>
      <c r="CY277" s="233"/>
      <c r="CZ277" s="233"/>
      <c r="DA277" s="233"/>
      <c r="DB277" s="233"/>
      <c r="DC277" s="233"/>
      <c r="DD277" s="233"/>
    </row>
    <row r="278" spans="59:108" x14ac:dyDescent="0.25">
      <c r="BZ278" s="29"/>
      <c r="CG278" s="29"/>
      <c r="CH278" s="29"/>
      <c r="CI278" s="29"/>
      <c r="CJ278" s="29"/>
      <c r="CK278" s="29"/>
      <c r="CL278" s="29"/>
      <c r="CM278" s="233"/>
      <c r="CN278" s="233"/>
      <c r="CO278" s="233"/>
      <c r="CP278" s="233"/>
      <c r="CQ278" s="233"/>
      <c r="CR278" s="233"/>
      <c r="CS278" s="233"/>
      <c r="CT278" s="233"/>
      <c r="CU278" s="233"/>
      <c r="CV278" s="233"/>
      <c r="CW278" s="233"/>
      <c r="CX278" s="233"/>
      <c r="CY278" s="233"/>
      <c r="CZ278" s="233"/>
      <c r="DA278" s="233"/>
      <c r="DB278" s="233"/>
      <c r="DC278" s="233"/>
      <c r="DD278" s="233"/>
    </row>
    <row r="279" spans="59:108" x14ac:dyDescent="0.25">
      <c r="BZ279" s="29"/>
      <c r="CG279" s="29"/>
      <c r="CH279" s="29"/>
      <c r="CI279" s="29"/>
      <c r="CJ279" s="29"/>
      <c r="CK279" s="29"/>
      <c r="CL279" s="29"/>
      <c r="CM279" s="233"/>
      <c r="CN279" s="233"/>
      <c r="CO279" s="233"/>
      <c r="CP279" s="233"/>
      <c r="CQ279" s="233"/>
      <c r="CR279" s="233"/>
      <c r="CS279" s="233"/>
      <c r="CT279" s="233"/>
      <c r="CU279" s="233"/>
      <c r="CV279" s="233"/>
      <c r="CW279" s="233"/>
      <c r="CX279" s="233"/>
      <c r="CY279" s="233"/>
      <c r="CZ279" s="233"/>
      <c r="DA279" s="233"/>
      <c r="DB279" s="233"/>
      <c r="DC279" s="233"/>
      <c r="DD279" s="233"/>
    </row>
    <row r="280" spans="59:108" x14ac:dyDescent="0.25">
      <c r="BZ280" s="29"/>
      <c r="CG280" s="29"/>
      <c r="CH280" s="29"/>
      <c r="CI280" s="29"/>
      <c r="CJ280" s="29"/>
      <c r="CK280" s="29"/>
      <c r="CL280" s="29"/>
      <c r="CM280" s="233"/>
      <c r="CN280" s="233"/>
      <c r="CO280" s="233"/>
      <c r="CP280" s="233"/>
      <c r="CQ280" s="233"/>
      <c r="CR280" s="233"/>
      <c r="CS280" s="233"/>
      <c r="CT280" s="233"/>
      <c r="CU280" s="233"/>
      <c r="CV280" s="233"/>
      <c r="CW280" s="233"/>
      <c r="CX280" s="233"/>
      <c r="CY280" s="233"/>
      <c r="CZ280" s="233"/>
      <c r="DA280" s="233"/>
      <c r="DB280" s="233"/>
      <c r="DC280" s="233"/>
      <c r="DD280" s="233"/>
    </row>
    <row r="281" spans="59:108" x14ac:dyDescent="0.25">
      <c r="BZ281" s="29"/>
      <c r="CG281" s="29"/>
      <c r="CH281" s="29"/>
      <c r="CI281" s="29"/>
      <c r="CJ281" s="29"/>
      <c r="CK281" s="29"/>
      <c r="CL281" s="29"/>
      <c r="CM281" s="233"/>
      <c r="CN281" s="233"/>
      <c r="CO281" s="233"/>
      <c r="CP281" s="233"/>
      <c r="CQ281" s="233"/>
      <c r="CR281" s="233"/>
      <c r="CS281" s="233"/>
      <c r="CT281" s="233"/>
      <c r="CU281" s="233"/>
      <c r="CV281" s="233"/>
      <c r="CW281" s="233"/>
      <c r="CX281" s="233"/>
      <c r="CY281" s="233"/>
      <c r="CZ281" s="233"/>
      <c r="DA281" s="233"/>
      <c r="DB281" s="233"/>
      <c r="DC281" s="233"/>
      <c r="DD281" s="233"/>
    </row>
    <row r="282" spans="59:108" x14ac:dyDescent="0.25">
      <c r="BZ282" s="29"/>
      <c r="CG282" s="29"/>
      <c r="CH282" s="29"/>
      <c r="CI282" s="29"/>
      <c r="CJ282" s="29"/>
      <c r="CK282" s="29"/>
      <c r="CL282" s="29"/>
      <c r="CM282" s="233"/>
      <c r="CN282" s="233"/>
      <c r="CO282" s="233"/>
      <c r="CP282" s="233"/>
      <c r="CQ282" s="233"/>
      <c r="CR282" s="233"/>
      <c r="CS282" s="233"/>
      <c r="CT282" s="233"/>
      <c r="CU282" s="233"/>
      <c r="CV282" s="233"/>
      <c r="CW282" s="233"/>
      <c r="CX282" s="233"/>
      <c r="CY282" s="233"/>
      <c r="CZ282" s="233"/>
      <c r="DA282" s="233"/>
      <c r="DB282" s="233"/>
      <c r="DC282" s="233"/>
      <c r="DD282" s="233"/>
    </row>
    <row r="283" spans="59:108" x14ac:dyDescent="0.25">
      <c r="BZ283" s="29"/>
      <c r="CG283" s="29"/>
      <c r="CH283" s="29"/>
      <c r="CI283" s="29"/>
      <c r="CJ283" s="29"/>
      <c r="CK283" s="29"/>
      <c r="CL283" s="29"/>
      <c r="CM283" s="233"/>
      <c r="CN283" s="233"/>
      <c r="CO283" s="233"/>
      <c r="CP283" s="233"/>
      <c r="CQ283" s="233"/>
      <c r="CR283" s="233"/>
      <c r="CS283" s="233"/>
      <c r="CT283" s="233"/>
      <c r="CU283" s="233"/>
      <c r="CV283" s="233"/>
      <c r="CW283" s="233"/>
      <c r="CX283" s="233"/>
      <c r="CY283" s="233"/>
      <c r="CZ283" s="233"/>
      <c r="DA283" s="233"/>
      <c r="DB283" s="233"/>
      <c r="DC283" s="233"/>
      <c r="DD283" s="233"/>
    </row>
    <row r="284" spans="59:108" x14ac:dyDescent="0.25">
      <c r="BZ284" s="29"/>
      <c r="CG284" s="29"/>
      <c r="CH284" s="29"/>
      <c r="CI284" s="29"/>
      <c r="CJ284" s="29"/>
      <c r="CK284" s="29"/>
      <c r="CL284" s="29"/>
      <c r="CM284" s="233"/>
      <c r="CN284" s="233"/>
      <c r="CO284" s="233"/>
      <c r="CP284" s="233"/>
      <c r="CQ284" s="233"/>
      <c r="CR284" s="233"/>
      <c r="CS284" s="233"/>
      <c r="CT284" s="233"/>
      <c r="CU284" s="233"/>
      <c r="CV284" s="233"/>
      <c r="CW284" s="233"/>
      <c r="CX284" s="233"/>
      <c r="CY284" s="233"/>
      <c r="CZ284" s="233"/>
      <c r="DA284" s="233"/>
      <c r="DB284" s="233"/>
      <c r="DC284" s="233"/>
      <c r="DD284" s="233"/>
    </row>
    <row r="285" spans="59:108" x14ac:dyDescent="0.25">
      <c r="BZ285" s="29"/>
      <c r="CG285" s="29"/>
      <c r="CH285" s="29"/>
      <c r="CI285" s="29"/>
      <c r="CJ285" s="29"/>
      <c r="CK285" s="29"/>
      <c r="CL285" s="29"/>
      <c r="CM285" s="233"/>
      <c r="CN285" s="233"/>
      <c r="CO285" s="233"/>
      <c r="CP285" s="233"/>
      <c r="CQ285" s="233"/>
      <c r="CR285" s="233"/>
      <c r="CS285" s="233"/>
      <c r="CT285" s="233"/>
      <c r="CU285" s="233"/>
      <c r="CV285" s="233"/>
      <c r="CW285" s="233"/>
      <c r="CX285" s="233"/>
      <c r="CY285" s="233"/>
      <c r="CZ285" s="233"/>
      <c r="DA285" s="233"/>
      <c r="DB285" s="233"/>
      <c r="DC285" s="233"/>
      <c r="DD285" s="233"/>
    </row>
    <row r="286" spans="59:108" x14ac:dyDescent="0.25">
      <c r="BZ286" s="29"/>
      <c r="CG286" s="29"/>
      <c r="CH286" s="29"/>
      <c r="CI286" s="29"/>
      <c r="CJ286" s="29"/>
      <c r="CK286" s="29"/>
      <c r="CL286" s="29"/>
      <c r="CM286" s="233"/>
      <c r="CN286" s="233"/>
      <c r="CO286" s="233"/>
      <c r="CP286" s="233"/>
      <c r="CQ286" s="233"/>
      <c r="CR286" s="233"/>
      <c r="CS286" s="233"/>
      <c r="CT286" s="233"/>
      <c r="CU286" s="233"/>
      <c r="CV286" s="233"/>
      <c r="CW286" s="233"/>
      <c r="CX286" s="233"/>
      <c r="CY286" s="233"/>
      <c r="CZ286" s="233"/>
      <c r="DA286" s="233"/>
      <c r="DB286" s="233"/>
      <c r="DC286" s="233"/>
      <c r="DD286" s="233"/>
    </row>
    <row r="287" spans="59:108" x14ac:dyDescent="0.25">
      <c r="BZ287" s="29"/>
      <c r="CG287" s="29"/>
      <c r="CH287" s="29"/>
      <c r="CI287" s="29"/>
      <c r="CJ287" s="29"/>
      <c r="CK287" s="29"/>
      <c r="CL287" s="29"/>
      <c r="CM287" s="233"/>
      <c r="CN287" s="233"/>
      <c r="CO287" s="233"/>
      <c r="CP287" s="233"/>
      <c r="CQ287" s="233"/>
      <c r="CR287" s="233"/>
      <c r="CS287" s="233"/>
      <c r="CT287" s="233"/>
      <c r="CU287" s="233"/>
      <c r="CV287" s="233"/>
      <c r="CW287" s="233"/>
      <c r="CX287" s="233"/>
      <c r="CY287" s="233"/>
      <c r="CZ287" s="233"/>
      <c r="DA287" s="233"/>
      <c r="DB287" s="233"/>
      <c r="DC287" s="233"/>
      <c r="DD287" s="233"/>
    </row>
    <row r="288" spans="59:108" x14ac:dyDescent="0.25">
      <c r="BZ288" s="29"/>
      <c r="CG288" s="29"/>
      <c r="CH288" s="29"/>
      <c r="CI288" s="29"/>
      <c r="CJ288" s="29"/>
      <c r="CK288" s="29"/>
      <c r="CL288" s="29"/>
      <c r="CM288" s="233"/>
      <c r="CN288" s="233"/>
      <c r="CO288" s="233"/>
      <c r="CP288" s="233"/>
      <c r="CQ288" s="233"/>
      <c r="CR288" s="233"/>
      <c r="CS288" s="233"/>
      <c r="CT288" s="233"/>
      <c r="CU288" s="233"/>
      <c r="CV288" s="233"/>
      <c r="CW288" s="233"/>
      <c r="CX288" s="233"/>
      <c r="CY288" s="233"/>
      <c r="CZ288" s="233"/>
      <c r="DA288" s="233"/>
      <c r="DB288" s="233"/>
      <c r="DC288" s="233"/>
      <c r="DD288" s="233"/>
    </row>
    <row r="289" spans="78:108" x14ac:dyDescent="0.25">
      <c r="BZ289" s="29"/>
      <c r="CG289" s="29"/>
      <c r="CH289" s="29"/>
      <c r="CI289" s="29"/>
      <c r="CJ289" s="29"/>
      <c r="CK289" s="29"/>
      <c r="CL289" s="29"/>
      <c r="CM289" s="233"/>
      <c r="CN289" s="233"/>
      <c r="CO289" s="233"/>
      <c r="CP289" s="233"/>
      <c r="CQ289" s="233"/>
      <c r="CR289" s="233"/>
      <c r="CS289" s="233"/>
      <c r="CT289" s="233"/>
      <c r="CU289" s="233"/>
      <c r="CV289" s="233"/>
      <c r="CW289" s="233"/>
      <c r="CX289" s="233"/>
      <c r="CY289" s="233"/>
      <c r="CZ289" s="233"/>
      <c r="DA289" s="233"/>
      <c r="DB289" s="233"/>
      <c r="DC289" s="233"/>
      <c r="DD289" s="233"/>
    </row>
    <row r="290" spans="78:108" x14ac:dyDescent="0.25">
      <c r="BZ290" s="29"/>
      <c r="CG290" s="29"/>
      <c r="CH290" s="29"/>
      <c r="CI290" s="29"/>
      <c r="CJ290" s="29"/>
      <c r="CK290" s="29"/>
      <c r="CL290" s="29"/>
      <c r="CM290" s="233"/>
      <c r="CN290" s="233"/>
      <c r="CO290" s="233"/>
      <c r="CP290" s="233"/>
      <c r="CQ290" s="233"/>
      <c r="CR290" s="233"/>
      <c r="CS290" s="233"/>
      <c r="CT290" s="233"/>
      <c r="CU290" s="233"/>
      <c r="CV290" s="233"/>
      <c r="CW290" s="233"/>
      <c r="CX290" s="233"/>
      <c r="CY290" s="233"/>
      <c r="CZ290" s="233"/>
      <c r="DA290" s="233"/>
      <c r="DB290" s="233"/>
      <c r="DC290" s="233"/>
      <c r="DD290" s="233"/>
    </row>
    <row r="291" spans="78:108" x14ac:dyDescent="0.25">
      <c r="BZ291" s="29"/>
      <c r="CG291" s="29"/>
      <c r="CH291" s="29"/>
      <c r="CI291" s="29"/>
      <c r="CJ291" s="29"/>
      <c r="CK291" s="29"/>
      <c r="CL291" s="29"/>
      <c r="CM291" s="233"/>
      <c r="CN291" s="233"/>
      <c r="CO291" s="233"/>
      <c r="CP291" s="233"/>
      <c r="CQ291" s="233"/>
      <c r="CR291" s="233"/>
      <c r="CS291" s="233"/>
      <c r="CT291" s="233"/>
      <c r="CU291" s="233"/>
      <c r="CV291" s="233"/>
      <c r="CW291" s="233"/>
      <c r="CX291" s="233"/>
      <c r="CY291" s="233"/>
      <c r="CZ291" s="233"/>
      <c r="DA291" s="233"/>
      <c r="DB291" s="233"/>
      <c r="DC291" s="233"/>
      <c r="DD291" s="233"/>
    </row>
    <row r="292" spans="78:108" x14ac:dyDescent="0.25">
      <c r="BZ292" s="29"/>
      <c r="CG292" s="29"/>
      <c r="CH292" s="29"/>
      <c r="CI292" s="29"/>
      <c r="CJ292" s="29"/>
      <c r="CK292" s="29"/>
      <c r="CL292" s="29"/>
      <c r="CM292" s="233"/>
      <c r="CN292" s="233"/>
      <c r="CO292" s="233"/>
      <c r="CP292" s="233"/>
      <c r="CQ292" s="233"/>
      <c r="CR292" s="233"/>
      <c r="CS292" s="233"/>
      <c r="CT292" s="233"/>
      <c r="CU292" s="233"/>
      <c r="CV292" s="233"/>
      <c r="CW292" s="233"/>
      <c r="CX292" s="233"/>
      <c r="CY292" s="233"/>
      <c r="CZ292" s="233"/>
      <c r="DA292" s="233"/>
      <c r="DB292" s="233"/>
      <c r="DC292" s="233"/>
      <c r="DD292" s="233"/>
    </row>
    <row r="293" spans="78:108" x14ac:dyDescent="0.25">
      <c r="BZ293" s="29"/>
      <c r="CG293" s="29"/>
      <c r="CH293" s="29"/>
      <c r="CI293" s="29"/>
      <c r="CJ293" s="29"/>
      <c r="CK293" s="29"/>
      <c r="CL293" s="29"/>
      <c r="CM293" s="233"/>
      <c r="CN293" s="233"/>
      <c r="CO293" s="233"/>
      <c r="CP293" s="233"/>
      <c r="CQ293" s="233"/>
      <c r="CR293" s="233"/>
      <c r="CS293" s="233"/>
      <c r="CT293" s="233"/>
      <c r="CU293" s="233"/>
      <c r="CV293" s="233"/>
      <c r="CW293" s="233"/>
      <c r="CX293" s="233"/>
      <c r="CY293" s="233"/>
      <c r="CZ293" s="233"/>
      <c r="DA293" s="233"/>
      <c r="DB293" s="233"/>
      <c r="DC293" s="233"/>
      <c r="DD293" s="233"/>
    </row>
    <row r="294" spans="78:108" x14ac:dyDescent="0.25">
      <c r="BZ294" s="29"/>
      <c r="CG294" s="29"/>
      <c r="CH294" s="29"/>
      <c r="CI294" s="29"/>
      <c r="CJ294" s="29"/>
      <c r="CK294" s="29"/>
      <c r="CL294" s="29"/>
      <c r="CM294" s="233"/>
      <c r="CN294" s="233"/>
      <c r="CO294" s="233"/>
      <c r="CP294" s="233"/>
      <c r="CQ294" s="233"/>
      <c r="CR294" s="233"/>
      <c r="CS294" s="233"/>
      <c r="CT294" s="233"/>
      <c r="CU294" s="233"/>
      <c r="CV294" s="233"/>
      <c r="CW294" s="233"/>
      <c r="CX294" s="233"/>
      <c r="CY294" s="233"/>
      <c r="CZ294" s="233"/>
      <c r="DA294" s="233"/>
      <c r="DB294" s="233"/>
      <c r="DC294" s="233"/>
      <c r="DD294" s="233"/>
    </row>
    <row r="295" spans="78:108" x14ac:dyDescent="0.25">
      <c r="BZ295" s="29"/>
      <c r="CG295" s="29"/>
      <c r="CH295" s="29"/>
      <c r="CI295" s="29"/>
      <c r="CJ295" s="29"/>
      <c r="CK295" s="29"/>
      <c r="CL295" s="29"/>
      <c r="CM295" s="233"/>
      <c r="CN295" s="233"/>
      <c r="CO295" s="233"/>
      <c r="CP295" s="233"/>
      <c r="CQ295" s="233"/>
      <c r="CR295" s="233"/>
      <c r="CS295" s="233"/>
      <c r="CT295" s="233"/>
      <c r="CU295" s="233"/>
      <c r="CV295" s="233"/>
      <c r="CW295" s="233"/>
      <c r="CX295" s="233"/>
      <c r="CY295" s="233"/>
      <c r="CZ295" s="233"/>
      <c r="DA295" s="233"/>
      <c r="DB295" s="233"/>
      <c r="DC295" s="233"/>
      <c r="DD295" s="233"/>
    </row>
    <row r="296" spans="78:108" x14ac:dyDescent="0.25">
      <c r="BZ296" s="29"/>
      <c r="CG296" s="29"/>
      <c r="CH296" s="29"/>
      <c r="CI296" s="29"/>
      <c r="CJ296" s="29"/>
      <c r="CK296" s="29"/>
      <c r="CL296" s="29"/>
      <c r="CM296" s="233"/>
      <c r="CN296" s="233"/>
      <c r="CO296" s="233"/>
      <c r="CP296" s="233"/>
      <c r="CQ296" s="233"/>
      <c r="CR296" s="233"/>
      <c r="CS296" s="233"/>
      <c r="CT296" s="233"/>
      <c r="CU296" s="233"/>
      <c r="CV296" s="233"/>
      <c r="CW296" s="233"/>
      <c r="CX296" s="233"/>
      <c r="CY296" s="233"/>
      <c r="CZ296" s="233"/>
      <c r="DA296" s="233"/>
      <c r="DB296" s="233"/>
      <c r="DC296" s="233"/>
      <c r="DD296" s="233"/>
    </row>
    <row r="297" spans="78:108" x14ac:dyDescent="0.25">
      <c r="BZ297" s="29"/>
      <c r="CG297" s="29"/>
      <c r="CH297" s="29"/>
      <c r="CI297" s="29"/>
      <c r="CJ297" s="29"/>
      <c r="CK297" s="29"/>
      <c r="CL297" s="29"/>
      <c r="CM297" s="233"/>
      <c r="CN297" s="233"/>
      <c r="CO297" s="233"/>
      <c r="CP297" s="233"/>
      <c r="CQ297" s="233"/>
      <c r="CR297" s="233"/>
      <c r="CS297" s="233"/>
      <c r="CT297" s="233"/>
      <c r="CU297" s="233"/>
      <c r="CV297" s="233"/>
      <c r="CW297" s="233"/>
      <c r="CX297" s="233"/>
      <c r="CY297" s="233"/>
      <c r="CZ297" s="233"/>
      <c r="DA297" s="233"/>
      <c r="DB297" s="233"/>
      <c r="DC297" s="233"/>
      <c r="DD297" s="233"/>
    </row>
    <row r="298" spans="78:108" x14ac:dyDescent="0.25">
      <c r="BZ298" s="29"/>
      <c r="CG298" s="29"/>
      <c r="CH298" s="29"/>
      <c r="CI298" s="29"/>
      <c r="CJ298" s="29"/>
      <c r="CK298" s="29"/>
      <c r="CL298" s="29"/>
      <c r="CM298" s="233"/>
      <c r="CN298" s="233"/>
      <c r="CO298" s="233"/>
      <c r="CP298" s="233"/>
      <c r="CQ298" s="233"/>
      <c r="CR298" s="233"/>
      <c r="CS298" s="233"/>
      <c r="CT298" s="233"/>
      <c r="CU298" s="233"/>
      <c r="CV298" s="233"/>
      <c r="CW298" s="233"/>
      <c r="CX298" s="233"/>
      <c r="CY298" s="233"/>
      <c r="CZ298" s="233"/>
      <c r="DA298" s="233"/>
      <c r="DB298" s="233"/>
      <c r="DC298" s="233"/>
      <c r="DD298" s="233"/>
    </row>
    <row r="299" spans="78:108" x14ac:dyDescent="0.25">
      <c r="BZ299" s="29"/>
      <c r="CG299" s="29"/>
      <c r="CH299" s="29"/>
      <c r="CI299" s="29"/>
      <c r="CJ299" s="29"/>
      <c r="CK299" s="29"/>
      <c r="CL299" s="29"/>
      <c r="CM299" s="233"/>
      <c r="CN299" s="233"/>
      <c r="CO299" s="233"/>
      <c r="CP299" s="233"/>
      <c r="CQ299" s="233"/>
      <c r="CR299" s="233"/>
      <c r="CS299" s="233"/>
      <c r="CT299" s="233"/>
      <c r="CU299" s="233"/>
      <c r="CV299" s="233"/>
      <c r="CW299" s="233"/>
      <c r="CX299" s="233"/>
      <c r="CY299" s="233"/>
      <c r="CZ299" s="233"/>
      <c r="DA299" s="233"/>
      <c r="DB299" s="233"/>
      <c r="DC299" s="233"/>
      <c r="DD299" s="233"/>
    </row>
    <row r="300" spans="78:108" x14ac:dyDescent="0.25">
      <c r="BZ300" s="29"/>
      <c r="CG300" s="29"/>
      <c r="CH300" s="29"/>
      <c r="CI300" s="29"/>
      <c r="CJ300" s="29"/>
      <c r="CK300" s="29"/>
      <c r="CL300" s="29"/>
      <c r="CM300" s="233"/>
      <c r="CN300" s="233"/>
      <c r="CO300" s="233"/>
      <c r="CP300" s="233"/>
      <c r="CQ300" s="233"/>
      <c r="CR300" s="233"/>
      <c r="CS300" s="233"/>
      <c r="CT300" s="233"/>
      <c r="CU300" s="233"/>
      <c r="CV300" s="233"/>
      <c r="CW300" s="233"/>
      <c r="CX300" s="233"/>
      <c r="CY300" s="233"/>
      <c r="CZ300" s="233"/>
      <c r="DA300" s="233"/>
      <c r="DB300" s="233"/>
      <c r="DC300" s="233"/>
      <c r="DD300" s="233"/>
    </row>
    <row r="301" spans="78:108" x14ac:dyDescent="0.25">
      <c r="BZ301" s="29"/>
      <c r="CG301" s="29"/>
      <c r="CH301" s="29"/>
      <c r="CI301" s="29"/>
      <c r="CJ301" s="29"/>
      <c r="CK301" s="29"/>
      <c r="CL301" s="29"/>
      <c r="CM301" s="233"/>
      <c r="CN301" s="233"/>
      <c r="CO301" s="233"/>
      <c r="CP301" s="233"/>
      <c r="CQ301" s="233"/>
      <c r="CR301" s="233"/>
      <c r="CS301" s="233"/>
      <c r="CT301" s="233"/>
      <c r="CU301" s="233"/>
      <c r="CV301" s="233"/>
      <c r="CW301" s="233"/>
      <c r="CX301" s="233"/>
      <c r="CY301" s="233"/>
      <c r="CZ301" s="233"/>
      <c r="DA301" s="233"/>
      <c r="DB301" s="233"/>
      <c r="DC301" s="233"/>
      <c r="DD301" s="233"/>
    </row>
    <row r="302" spans="78:108" x14ac:dyDescent="0.25">
      <c r="BZ302" s="29"/>
      <c r="CG302" s="29"/>
      <c r="CH302" s="29"/>
      <c r="CI302" s="29"/>
      <c r="CJ302" s="29"/>
      <c r="CK302" s="29"/>
      <c r="CL302" s="29"/>
      <c r="CM302" s="233"/>
      <c r="CN302" s="233"/>
      <c r="CO302" s="233"/>
      <c r="CP302" s="233"/>
      <c r="CQ302" s="233"/>
      <c r="CR302" s="233"/>
      <c r="CS302" s="233"/>
      <c r="CT302" s="233"/>
      <c r="CU302" s="233"/>
      <c r="CV302" s="233"/>
      <c r="CW302" s="233"/>
      <c r="CX302" s="233"/>
      <c r="CY302" s="233"/>
      <c r="CZ302" s="233"/>
      <c r="DA302" s="233"/>
      <c r="DB302" s="233"/>
      <c r="DC302" s="233"/>
      <c r="DD302" s="233"/>
    </row>
    <row r="303" spans="78:108" x14ac:dyDescent="0.25">
      <c r="BZ303" s="29"/>
      <c r="CG303" s="29"/>
      <c r="CH303" s="29"/>
      <c r="CI303" s="29"/>
      <c r="CJ303" s="29"/>
      <c r="CK303" s="29"/>
      <c r="CL303" s="29"/>
      <c r="CM303" s="233"/>
      <c r="CN303" s="233"/>
      <c r="CO303" s="233"/>
      <c r="CP303" s="233"/>
      <c r="CQ303" s="233"/>
      <c r="CR303" s="233"/>
      <c r="CS303" s="233"/>
      <c r="CT303" s="233"/>
      <c r="CU303" s="233"/>
      <c r="CV303" s="233"/>
      <c r="CW303" s="233"/>
      <c r="CX303" s="233"/>
      <c r="CY303" s="233"/>
      <c r="CZ303" s="233"/>
      <c r="DA303" s="233"/>
      <c r="DB303" s="233"/>
      <c r="DC303" s="233"/>
      <c r="DD303" s="233"/>
    </row>
    <row r="304" spans="78:108" x14ac:dyDescent="0.25">
      <c r="BZ304" s="243"/>
      <c r="CG304" s="243"/>
      <c r="CH304" s="243"/>
      <c r="CI304" s="243"/>
      <c r="CJ304" s="243"/>
      <c r="CK304" s="243"/>
      <c r="CL304" s="243"/>
      <c r="CM304" s="233"/>
      <c r="CN304" s="233"/>
      <c r="CO304" s="233"/>
      <c r="CP304" s="233"/>
      <c r="CQ304" s="233"/>
      <c r="CR304" s="233"/>
      <c r="CS304" s="233"/>
      <c r="CT304" s="233"/>
      <c r="CU304" s="233"/>
      <c r="CV304" s="233"/>
      <c r="CW304" s="233"/>
      <c r="CX304" s="233"/>
      <c r="CY304" s="233"/>
      <c r="CZ304" s="233"/>
      <c r="DA304" s="233"/>
      <c r="DB304" s="233"/>
      <c r="DC304" s="233"/>
      <c r="DD304" s="233"/>
    </row>
    <row r="305" spans="78:108" ht="15" customHeight="1" x14ac:dyDescent="0.25">
      <c r="BZ305" s="243"/>
      <c r="CG305" s="243"/>
      <c r="CH305" s="243"/>
      <c r="CI305" s="243"/>
      <c r="CJ305" s="243"/>
      <c r="CK305" s="243"/>
      <c r="CL305" s="243"/>
      <c r="CM305" s="233"/>
      <c r="CN305" s="233"/>
      <c r="CO305" s="233"/>
      <c r="CP305" s="233"/>
      <c r="CQ305" s="233"/>
      <c r="CR305" s="233"/>
      <c r="CS305" s="233"/>
      <c r="CT305" s="233"/>
      <c r="CU305" s="233"/>
      <c r="CV305" s="233"/>
      <c r="CW305" s="233"/>
      <c r="CX305" s="233"/>
      <c r="CY305" s="233"/>
      <c r="CZ305" s="233"/>
      <c r="DA305" s="233"/>
      <c r="DB305" s="233"/>
      <c r="DC305" s="233"/>
      <c r="DD305" s="233"/>
    </row>
    <row r="306" spans="78:108" x14ac:dyDescent="0.25">
      <c r="BZ306" s="243"/>
      <c r="CG306" s="243"/>
      <c r="CH306" s="243"/>
      <c r="CI306" s="243"/>
      <c r="CJ306" s="243"/>
      <c r="CK306" s="243"/>
      <c r="CL306" s="243"/>
      <c r="CM306" s="233"/>
      <c r="CN306" s="233"/>
      <c r="CO306" s="233"/>
      <c r="CP306" s="233"/>
      <c r="CQ306" s="233"/>
      <c r="CR306" s="233"/>
      <c r="CS306" s="233"/>
      <c r="CT306" s="233"/>
      <c r="CU306" s="233"/>
      <c r="CV306" s="233"/>
      <c r="CW306" s="233"/>
      <c r="CX306" s="233"/>
      <c r="CY306" s="233"/>
      <c r="CZ306" s="233"/>
      <c r="DA306" s="233"/>
      <c r="DB306" s="233"/>
      <c r="DC306" s="233"/>
      <c r="DD306" s="233"/>
    </row>
    <row r="307" spans="78:108" x14ac:dyDescent="0.25">
      <c r="BZ307" s="243"/>
      <c r="CG307" s="243"/>
      <c r="CH307" s="243"/>
      <c r="CI307" s="243"/>
      <c r="CJ307" s="243"/>
      <c r="CK307" s="243"/>
      <c r="CL307" s="243"/>
      <c r="CM307" s="233"/>
      <c r="CN307" s="233"/>
      <c r="CO307" s="233"/>
      <c r="CP307" s="233"/>
      <c r="CQ307" s="233"/>
      <c r="CR307" s="233"/>
      <c r="CS307" s="233"/>
      <c r="CT307" s="233"/>
      <c r="CU307" s="233"/>
      <c r="CV307" s="233"/>
      <c r="CW307" s="233"/>
      <c r="CX307" s="233"/>
      <c r="CY307" s="233"/>
      <c r="CZ307" s="233"/>
      <c r="DA307" s="233"/>
      <c r="DB307" s="233"/>
      <c r="DC307" s="233"/>
      <c r="DD307" s="233"/>
    </row>
    <row r="308" spans="78:108" x14ac:dyDescent="0.25">
      <c r="BZ308" s="243"/>
      <c r="CG308" s="243"/>
      <c r="CH308" s="243"/>
      <c r="CI308" s="243"/>
      <c r="CJ308" s="243"/>
      <c r="CK308" s="243"/>
      <c r="CL308" s="243"/>
      <c r="CM308" s="233"/>
      <c r="CN308" s="233"/>
      <c r="CO308" s="233"/>
      <c r="CP308" s="233"/>
      <c r="CQ308" s="233"/>
      <c r="CR308" s="233"/>
      <c r="CS308" s="233"/>
      <c r="CT308" s="233"/>
      <c r="CU308" s="233"/>
      <c r="CV308" s="233"/>
      <c r="CW308" s="233"/>
      <c r="CX308" s="233"/>
      <c r="CY308" s="233"/>
      <c r="CZ308" s="233"/>
      <c r="DA308" s="233"/>
      <c r="DB308" s="233"/>
      <c r="DC308" s="233"/>
      <c r="DD308" s="233"/>
    </row>
    <row r="309" spans="78:108" x14ac:dyDescent="0.25">
      <c r="BZ309" s="243"/>
      <c r="CG309" s="243"/>
      <c r="CH309" s="243"/>
      <c r="CI309" s="243"/>
      <c r="CJ309" s="243"/>
      <c r="CK309" s="243"/>
      <c r="CL309" s="243"/>
      <c r="CM309" s="233"/>
      <c r="CN309" s="233"/>
      <c r="CO309" s="233"/>
      <c r="CP309" s="233"/>
      <c r="CQ309" s="233"/>
      <c r="CR309" s="233"/>
      <c r="CS309" s="233"/>
      <c r="CT309" s="233"/>
      <c r="CU309" s="233"/>
      <c r="CV309" s="233"/>
      <c r="CW309" s="233"/>
      <c r="CX309" s="233"/>
      <c r="CY309" s="233"/>
      <c r="CZ309" s="233"/>
      <c r="DA309" s="233"/>
      <c r="DB309" s="233"/>
      <c r="DC309" s="233"/>
      <c r="DD309" s="233"/>
    </row>
    <row r="310" spans="78:108" x14ac:dyDescent="0.25">
      <c r="BZ310" s="243"/>
      <c r="CG310" s="243"/>
      <c r="CH310" s="243"/>
      <c r="CI310" s="243"/>
      <c r="CJ310" s="243"/>
      <c r="CK310" s="243"/>
      <c r="CL310" s="243"/>
      <c r="CM310" s="233"/>
      <c r="CN310" s="233"/>
      <c r="CO310" s="233"/>
      <c r="CP310" s="233"/>
      <c r="CQ310" s="233"/>
      <c r="CR310" s="233"/>
      <c r="CS310" s="233"/>
      <c r="CT310" s="233"/>
      <c r="CU310" s="233"/>
      <c r="CV310" s="233"/>
      <c r="CW310" s="233"/>
      <c r="CX310" s="233"/>
      <c r="CY310" s="233"/>
      <c r="CZ310" s="233"/>
      <c r="DA310" s="233"/>
      <c r="DB310" s="233"/>
      <c r="DC310" s="233"/>
      <c r="DD310" s="233"/>
    </row>
    <row r="311" spans="78:108" x14ac:dyDescent="0.25">
      <c r="BZ311" s="243"/>
      <c r="CG311" s="243"/>
      <c r="CH311" s="243"/>
      <c r="CI311" s="243"/>
      <c r="CJ311" s="243"/>
      <c r="CK311" s="243"/>
      <c r="CL311" s="243"/>
      <c r="CM311" s="233"/>
      <c r="CN311" s="233"/>
      <c r="CO311" s="233"/>
      <c r="CP311" s="233"/>
      <c r="CQ311" s="233"/>
      <c r="CR311" s="233"/>
      <c r="CS311" s="233"/>
      <c r="CT311" s="233"/>
      <c r="CU311" s="233"/>
      <c r="CV311" s="233"/>
      <c r="CW311" s="233"/>
      <c r="CX311" s="233"/>
      <c r="CY311" s="233"/>
      <c r="CZ311" s="233"/>
      <c r="DA311" s="233"/>
      <c r="DB311" s="233"/>
      <c r="DC311" s="233"/>
      <c r="DD311" s="233"/>
    </row>
    <row r="312" spans="78:108" x14ac:dyDescent="0.25">
      <c r="BZ312" s="243"/>
      <c r="CG312" s="243"/>
      <c r="CH312" s="243"/>
      <c r="CI312" s="243"/>
      <c r="CJ312" s="243"/>
      <c r="CK312" s="243"/>
      <c r="CL312" s="243"/>
      <c r="CM312" s="233"/>
      <c r="CN312" s="233"/>
      <c r="CO312" s="233"/>
      <c r="CP312" s="233"/>
      <c r="CQ312" s="233"/>
      <c r="CR312" s="233"/>
      <c r="CS312" s="233"/>
      <c r="CT312" s="233"/>
      <c r="CU312" s="233"/>
      <c r="CV312" s="233"/>
      <c r="CW312" s="233"/>
      <c r="CX312" s="233"/>
      <c r="CY312" s="233"/>
      <c r="CZ312" s="233"/>
      <c r="DA312" s="233"/>
      <c r="DB312" s="233"/>
      <c r="DC312" s="233"/>
      <c r="DD312" s="233"/>
    </row>
    <row r="313" spans="78:108" x14ac:dyDescent="0.25">
      <c r="BZ313" s="243"/>
      <c r="CG313" s="243"/>
      <c r="CH313" s="243"/>
      <c r="CI313" s="243"/>
      <c r="CJ313" s="243"/>
      <c r="CK313" s="243"/>
      <c r="CL313" s="243"/>
      <c r="CM313" s="233"/>
      <c r="CN313" s="233"/>
      <c r="CO313" s="233"/>
      <c r="CP313" s="233"/>
      <c r="CQ313" s="233"/>
      <c r="CR313" s="233"/>
      <c r="CS313" s="233"/>
      <c r="CT313" s="233"/>
      <c r="CU313" s="233"/>
      <c r="CV313" s="233"/>
      <c r="CW313" s="233"/>
      <c r="CX313" s="233"/>
      <c r="CY313" s="233"/>
      <c r="CZ313" s="233"/>
      <c r="DA313" s="233"/>
      <c r="DB313" s="233"/>
      <c r="DC313" s="233"/>
      <c r="DD313" s="233"/>
    </row>
    <row r="314" spans="78:108" x14ac:dyDescent="0.25">
      <c r="BZ314" s="243"/>
      <c r="CG314" s="243"/>
      <c r="CH314" s="243"/>
      <c r="CI314" s="243"/>
      <c r="CJ314" s="243"/>
      <c r="CK314" s="243"/>
      <c r="CL314" s="243"/>
      <c r="CM314" s="233"/>
      <c r="CN314" s="233"/>
      <c r="CO314" s="233"/>
      <c r="CP314" s="233"/>
      <c r="CQ314" s="233"/>
      <c r="CR314" s="233"/>
      <c r="CS314" s="233"/>
      <c r="CT314" s="233"/>
      <c r="CU314" s="233"/>
      <c r="CV314" s="233"/>
      <c r="CW314" s="233"/>
      <c r="CX314" s="233"/>
      <c r="CY314" s="233"/>
      <c r="CZ314" s="233"/>
      <c r="DA314" s="233"/>
      <c r="DB314" s="233"/>
      <c r="DC314" s="233"/>
      <c r="DD314" s="233"/>
    </row>
    <row r="315" spans="78:108" x14ac:dyDescent="0.25">
      <c r="BZ315" s="243"/>
      <c r="CG315" s="243"/>
      <c r="CH315" s="243"/>
      <c r="CI315" s="243"/>
      <c r="CJ315" s="243"/>
      <c r="CK315" s="243"/>
      <c r="CL315" s="243"/>
      <c r="CM315" s="233"/>
      <c r="CN315" s="233"/>
      <c r="CO315" s="233"/>
      <c r="CP315" s="233"/>
      <c r="CQ315" s="233"/>
      <c r="CR315" s="233"/>
      <c r="CS315" s="233"/>
      <c r="CT315" s="233"/>
      <c r="CU315" s="233"/>
      <c r="CV315" s="233"/>
      <c r="CW315" s="233"/>
      <c r="CX315" s="233"/>
      <c r="CY315" s="233"/>
      <c r="CZ315" s="233"/>
      <c r="DA315" s="233"/>
      <c r="DB315" s="233"/>
      <c r="DC315" s="233"/>
      <c r="DD315" s="233"/>
    </row>
    <row r="316" spans="78:108" x14ac:dyDescent="0.25">
      <c r="BZ316" s="243"/>
      <c r="CG316" s="243"/>
      <c r="CH316" s="243"/>
      <c r="CI316" s="243"/>
      <c r="CJ316" s="243"/>
      <c r="CK316" s="243"/>
      <c r="CL316" s="243"/>
      <c r="CM316" s="233"/>
      <c r="CN316" s="233"/>
      <c r="CO316" s="233"/>
      <c r="CP316" s="233"/>
      <c r="CQ316" s="233"/>
      <c r="CR316" s="233"/>
      <c r="CS316" s="233"/>
      <c r="CT316" s="233"/>
      <c r="CU316" s="233"/>
      <c r="CV316" s="233"/>
      <c r="CW316" s="233"/>
      <c r="CX316" s="233"/>
      <c r="CY316" s="233"/>
      <c r="CZ316" s="233"/>
      <c r="DA316" s="233"/>
      <c r="DB316" s="233"/>
      <c r="DC316" s="233"/>
      <c r="DD316" s="233"/>
    </row>
    <row r="317" spans="78:108" x14ac:dyDescent="0.25">
      <c r="BZ317" s="243"/>
      <c r="CG317" s="243"/>
      <c r="CH317" s="243"/>
      <c r="CI317" s="243"/>
      <c r="CJ317" s="243"/>
      <c r="CK317" s="243"/>
      <c r="CL317" s="243"/>
      <c r="CM317" s="233"/>
      <c r="CN317" s="233"/>
      <c r="CO317" s="233"/>
      <c r="CP317" s="233"/>
      <c r="CQ317" s="233"/>
      <c r="CR317" s="233"/>
      <c r="CS317" s="233"/>
      <c r="CT317" s="233"/>
      <c r="CU317" s="233"/>
      <c r="CV317" s="233"/>
      <c r="CW317" s="233"/>
      <c r="CX317" s="233"/>
      <c r="CY317" s="233"/>
      <c r="CZ317" s="233"/>
      <c r="DA317" s="233"/>
      <c r="DB317" s="233"/>
      <c r="DC317" s="233"/>
      <c r="DD317" s="233"/>
    </row>
    <row r="318" spans="78:108" x14ac:dyDescent="0.25">
      <c r="BZ318" s="243"/>
      <c r="CG318" s="243"/>
      <c r="CH318" s="243"/>
      <c r="CI318" s="243"/>
      <c r="CJ318" s="243"/>
      <c r="CK318" s="243"/>
      <c r="CL318" s="243"/>
      <c r="CM318" s="233"/>
      <c r="CN318" s="233"/>
      <c r="CO318" s="233"/>
      <c r="CP318" s="233"/>
      <c r="CQ318" s="233"/>
      <c r="CR318" s="233"/>
      <c r="CS318" s="233"/>
      <c r="CT318" s="233"/>
      <c r="CU318" s="233"/>
      <c r="CV318" s="233"/>
      <c r="CW318" s="233"/>
      <c r="CX318" s="233"/>
      <c r="CY318" s="233"/>
      <c r="CZ318" s="233"/>
      <c r="DA318" s="233"/>
      <c r="DB318" s="233"/>
      <c r="DC318" s="233"/>
      <c r="DD318" s="233"/>
    </row>
    <row r="319" spans="78:108" x14ac:dyDescent="0.25">
      <c r="BZ319" s="243"/>
      <c r="CG319" s="243"/>
      <c r="CH319" s="243"/>
      <c r="CI319" s="243"/>
      <c r="CJ319" s="243"/>
      <c r="CK319" s="243"/>
      <c r="CL319" s="243"/>
      <c r="CM319" s="233"/>
      <c r="CN319" s="233"/>
      <c r="CO319" s="233"/>
      <c r="CP319" s="233"/>
      <c r="CQ319" s="233"/>
      <c r="CR319" s="233"/>
      <c r="CS319" s="233"/>
      <c r="CT319" s="233"/>
      <c r="CU319" s="233"/>
      <c r="CV319" s="233"/>
      <c r="CW319" s="233"/>
      <c r="CX319" s="233"/>
      <c r="CY319" s="233"/>
      <c r="CZ319" s="233"/>
      <c r="DA319" s="233"/>
      <c r="DB319" s="233"/>
      <c r="DC319" s="233"/>
      <c r="DD319" s="233"/>
    </row>
    <row r="320" spans="78:108" x14ac:dyDescent="0.25">
      <c r="BZ320" s="243"/>
      <c r="CG320" s="243"/>
      <c r="CH320" s="243"/>
      <c r="CI320" s="243"/>
      <c r="CJ320" s="243"/>
      <c r="CK320" s="243"/>
      <c r="CL320" s="243"/>
      <c r="CM320" s="233"/>
      <c r="CN320" s="233"/>
      <c r="CO320" s="233"/>
      <c r="CP320" s="233"/>
      <c r="CQ320" s="233"/>
      <c r="CR320" s="233"/>
      <c r="CS320" s="233"/>
      <c r="CT320" s="233"/>
      <c r="CU320" s="233"/>
      <c r="CV320" s="233"/>
      <c r="CW320" s="233"/>
      <c r="CX320" s="233"/>
      <c r="CY320" s="233"/>
      <c r="CZ320" s="233"/>
      <c r="DA320" s="233"/>
      <c r="DB320" s="233"/>
      <c r="DC320" s="233"/>
      <c r="DD320" s="233"/>
    </row>
    <row r="321" spans="78:108" x14ac:dyDescent="0.25">
      <c r="BZ321" s="243"/>
      <c r="CG321" s="243"/>
      <c r="CH321" s="243"/>
      <c r="CI321" s="243"/>
      <c r="CJ321" s="243"/>
      <c r="CK321" s="243"/>
      <c r="CL321" s="243"/>
      <c r="CM321" s="233"/>
      <c r="CN321" s="233"/>
      <c r="CO321" s="233"/>
      <c r="CP321" s="233"/>
      <c r="CQ321" s="233"/>
      <c r="CR321" s="233"/>
      <c r="CS321" s="233"/>
      <c r="CT321" s="233"/>
      <c r="CU321" s="233"/>
      <c r="CV321" s="233"/>
      <c r="CW321" s="233"/>
      <c r="CX321" s="233"/>
      <c r="CY321" s="233"/>
      <c r="CZ321" s="233"/>
      <c r="DA321" s="233"/>
      <c r="DB321" s="233"/>
      <c r="DC321" s="233"/>
      <c r="DD321" s="233"/>
    </row>
    <row r="322" spans="78:108" x14ac:dyDescent="0.25">
      <c r="BZ322" s="243"/>
      <c r="CG322" s="243"/>
      <c r="CH322" s="243"/>
      <c r="CI322" s="243"/>
      <c r="CJ322" s="243"/>
      <c r="CK322" s="243"/>
      <c r="CL322" s="243"/>
      <c r="CM322" s="233"/>
      <c r="CN322" s="233"/>
      <c r="CO322" s="233"/>
      <c r="CP322" s="233"/>
      <c r="CQ322" s="233"/>
      <c r="CR322" s="233"/>
      <c r="CS322" s="233"/>
      <c r="CT322" s="233"/>
      <c r="CU322" s="233"/>
      <c r="CV322" s="233"/>
      <c r="CW322" s="233"/>
      <c r="CX322" s="233"/>
      <c r="CY322" s="233"/>
      <c r="CZ322" s="233"/>
      <c r="DA322" s="233"/>
      <c r="DB322" s="233"/>
      <c r="DC322" s="233"/>
      <c r="DD322" s="233"/>
    </row>
    <row r="323" spans="78:108" x14ac:dyDescent="0.25">
      <c r="BZ323" s="243"/>
      <c r="CG323" s="243"/>
      <c r="CH323" s="243"/>
      <c r="CI323" s="243"/>
      <c r="CJ323" s="243"/>
      <c r="CK323" s="243"/>
      <c r="CL323" s="243"/>
      <c r="CM323" s="233"/>
      <c r="CN323" s="233"/>
      <c r="CO323" s="233"/>
      <c r="CP323" s="233"/>
      <c r="CQ323" s="233"/>
      <c r="CR323" s="233"/>
      <c r="CS323" s="233"/>
      <c r="CT323" s="233"/>
      <c r="CU323" s="233"/>
      <c r="CV323" s="233"/>
      <c r="CW323" s="233"/>
      <c r="CX323" s="233"/>
      <c r="CY323" s="233"/>
      <c r="CZ323" s="233"/>
      <c r="DA323" s="233"/>
      <c r="DB323" s="233"/>
      <c r="DC323" s="233"/>
      <c r="DD323" s="233"/>
    </row>
    <row r="324" spans="78:108" ht="15" customHeight="1" x14ac:dyDescent="0.25">
      <c r="BZ324" s="243"/>
      <c r="CG324" s="243"/>
      <c r="CH324" s="243"/>
      <c r="CI324" s="243"/>
      <c r="CJ324" s="243"/>
      <c r="CK324" s="243"/>
      <c r="CL324" s="243"/>
      <c r="CM324" s="233"/>
      <c r="CN324" s="233"/>
      <c r="CO324" s="233"/>
      <c r="CP324" s="233"/>
      <c r="CQ324" s="233"/>
      <c r="CR324" s="233"/>
      <c r="CS324" s="233"/>
      <c r="CT324" s="233"/>
      <c r="CU324" s="233"/>
      <c r="CV324" s="233"/>
      <c r="CW324" s="233"/>
      <c r="CX324" s="233"/>
      <c r="CY324" s="233"/>
      <c r="CZ324" s="233"/>
      <c r="DA324" s="233"/>
      <c r="DB324" s="233"/>
      <c r="DC324" s="233"/>
      <c r="DD324" s="233"/>
    </row>
    <row r="325" spans="78:108" x14ac:dyDescent="0.25">
      <c r="BZ325" s="243"/>
      <c r="CG325" s="243"/>
      <c r="CH325" s="243"/>
      <c r="CI325" s="243"/>
      <c r="CJ325" s="243"/>
      <c r="CK325" s="243"/>
      <c r="CL325" s="243"/>
      <c r="CM325" s="233"/>
      <c r="CN325" s="233"/>
      <c r="CO325" s="233"/>
      <c r="CP325" s="233"/>
      <c r="CQ325" s="233"/>
      <c r="CR325" s="233"/>
      <c r="CS325" s="233"/>
      <c r="CT325" s="233"/>
      <c r="CU325" s="233"/>
      <c r="CV325" s="233"/>
      <c r="CW325" s="233"/>
      <c r="CX325" s="233"/>
      <c r="CY325" s="233"/>
      <c r="CZ325" s="233"/>
      <c r="DA325" s="233"/>
      <c r="DB325" s="233"/>
      <c r="DC325" s="233"/>
      <c r="DD325" s="233"/>
    </row>
    <row r="326" spans="78:108" x14ac:dyDescent="0.25">
      <c r="BZ326" s="243"/>
      <c r="CG326" s="243"/>
      <c r="CH326" s="243"/>
      <c r="CI326" s="243"/>
      <c r="CJ326" s="243"/>
      <c r="CK326" s="243"/>
      <c r="CL326" s="243"/>
      <c r="CM326" s="233"/>
      <c r="CN326" s="233"/>
      <c r="CO326" s="233"/>
      <c r="CP326" s="233"/>
      <c r="CQ326" s="233"/>
      <c r="CR326" s="233"/>
      <c r="CS326" s="233"/>
      <c r="CT326" s="233"/>
      <c r="CU326" s="233"/>
      <c r="CV326" s="233"/>
      <c r="CW326" s="233"/>
      <c r="CX326" s="233"/>
      <c r="CY326" s="233"/>
      <c r="CZ326" s="233"/>
      <c r="DA326" s="233"/>
      <c r="DB326" s="233"/>
      <c r="DC326" s="233"/>
      <c r="DD326" s="233"/>
    </row>
    <row r="327" spans="78:108" x14ac:dyDescent="0.25">
      <c r="BZ327" s="243"/>
      <c r="CG327" s="243"/>
      <c r="CH327" s="243"/>
      <c r="CI327" s="243"/>
      <c r="CJ327" s="243"/>
      <c r="CK327" s="243"/>
      <c r="CL327" s="243"/>
      <c r="CM327" s="233"/>
      <c r="CN327" s="233"/>
      <c r="CO327" s="233"/>
      <c r="CP327" s="233"/>
      <c r="CQ327" s="233"/>
      <c r="CR327" s="233"/>
      <c r="CS327" s="233"/>
      <c r="CT327" s="233"/>
      <c r="CU327" s="233"/>
      <c r="CV327" s="233"/>
      <c r="CW327" s="233"/>
      <c r="CX327" s="233"/>
      <c r="CY327" s="233"/>
      <c r="CZ327" s="233"/>
      <c r="DA327" s="233"/>
      <c r="DB327" s="233"/>
      <c r="DC327" s="233"/>
      <c r="DD327" s="233"/>
    </row>
    <row r="328" spans="78:108" x14ac:dyDescent="0.25">
      <c r="BZ328" s="243"/>
      <c r="CG328" s="243"/>
      <c r="CH328" s="243"/>
      <c r="CI328" s="243"/>
      <c r="CJ328" s="243"/>
      <c r="CK328" s="243"/>
      <c r="CL328" s="243"/>
      <c r="CM328" s="233"/>
      <c r="CN328" s="233"/>
      <c r="CO328" s="233"/>
      <c r="CP328" s="233"/>
      <c r="CQ328" s="233"/>
      <c r="CR328" s="233"/>
      <c r="CS328" s="233"/>
      <c r="CT328" s="233"/>
      <c r="CU328" s="233"/>
      <c r="CV328" s="233"/>
      <c r="CW328" s="233"/>
      <c r="CX328" s="233"/>
      <c r="CY328" s="233"/>
      <c r="CZ328" s="233"/>
      <c r="DA328" s="233"/>
      <c r="DB328" s="233"/>
      <c r="DC328" s="233"/>
      <c r="DD328" s="233"/>
    </row>
    <row r="329" spans="78:108" x14ac:dyDescent="0.25">
      <c r="BZ329" s="243"/>
      <c r="CG329" s="243"/>
      <c r="CH329" s="243"/>
      <c r="CI329" s="243"/>
      <c r="CJ329" s="243"/>
      <c r="CK329" s="243"/>
      <c r="CL329" s="243"/>
      <c r="CM329" s="233"/>
      <c r="CN329" s="233"/>
      <c r="CO329" s="233"/>
      <c r="CP329" s="233"/>
      <c r="CQ329" s="233"/>
      <c r="CR329" s="233"/>
      <c r="CS329" s="233"/>
      <c r="CT329" s="233"/>
      <c r="CU329" s="233"/>
      <c r="CV329" s="233"/>
      <c r="CW329" s="233"/>
      <c r="CX329" s="233"/>
      <c r="CY329" s="233"/>
      <c r="CZ329" s="233"/>
      <c r="DA329" s="233"/>
      <c r="DB329" s="233"/>
      <c r="DC329" s="233"/>
      <c r="DD329" s="233"/>
    </row>
    <row r="330" spans="78:108" x14ac:dyDescent="0.25">
      <c r="BZ330" s="243"/>
      <c r="CG330" s="243"/>
      <c r="CH330" s="243"/>
      <c r="CI330" s="243"/>
      <c r="CJ330" s="243"/>
      <c r="CK330" s="243"/>
      <c r="CL330" s="243"/>
      <c r="CM330" s="233"/>
      <c r="CN330" s="233"/>
      <c r="CO330" s="233"/>
      <c r="CP330" s="233"/>
      <c r="CQ330" s="233"/>
      <c r="CR330" s="233"/>
      <c r="CS330" s="233"/>
      <c r="CT330" s="233"/>
      <c r="CU330" s="233"/>
      <c r="CV330" s="233"/>
      <c r="CW330" s="233"/>
      <c r="CX330" s="233"/>
      <c r="CY330" s="233"/>
      <c r="CZ330" s="233"/>
      <c r="DA330" s="233"/>
      <c r="DB330" s="233"/>
      <c r="DC330" s="233"/>
      <c r="DD330" s="233"/>
    </row>
    <row r="331" spans="78:108" x14ac:dyDescent="0.25">
      <c r="BZ331" s="243"/>
      <c r="CG331" s="243"/>
      <c r="CH331" s="243"/>
      <c r="CI331" s="243"/>
      <c r="CJ331" s="243"/>
      <c r="CK331" s="243"/>
      <c r="CL331" s="243"/>
      <c r="CM331" s="233"/>
      <c r="CN331" s="233"/>
      <c r="CO331" s="233"/>
      <c r="CP331" s="233"/>
      <c r="CQ331" s="233"/>
      <c r="CR331" s="233"/>
      <c r="CS331" s="233"/>
      <c r="CT331" s="233"/>
      <c r="CU331" s="233"/>
      <c r="CV331" s="233"/>
      <c r="CW331" s="233"/>
      <c r="CX331" s="233"/>
      <c r="CY331" s="233"/>
      <c r="CZ331" s="233"/>
      <c r="DA331" s="233"/>
      <c r="DB331" s="233"/>
      <c r="DC331" s="233"/>
      <c r="DD331" s="233"/>
    </row>
    <row r="332" spans="78:108" x14ac:dyDescent="0.25">
      <c r="BZ332" s="243"/>
      <c r="CG332" s="243"/>
      <c r="CH332" s="243"/>
      <c r="CI332" s="243"/>
      <c r="CJ332" s="243"/>
      <c r="CK332" s="243"/>
      <c r="CL332" s="243"/>
      <c r="CM332" s="233"/>
      <c r="CN332" s="233"/>
      <c r="CO332" s="233"/>
      <c r="CP332" s="233"/>
      <c r="CQ332" s="233"/>
      <c r="CR332" s="233"/>
      <c r="CS332" s="233"/>
      <c r="CT332" s="233"/>
      <c r="CU332" s="233"/>
      <c r="CV332" s="233"/>
      <c r="CW332" s="233"/>
      <c r="CX332" s="233"/>
      <c r="CY332" s="233"/>
      <c r="CZ332" s="233"/>
      <c r="DA332" s="233"/>
      <c r="DB332" s="233"/>
      <c r="DC332" s="233"/>
      <c r="DD332" s="233"/>
    </row>
    <row r="333" spans="78:108" x14ac:dyDescent="0.25">
      <c r="BZ333" s="243"/>
      <c r="CG333" s="243"/>
      <c r="CH333" s="243"/>
      <c r="CI333" s="243"/>
      <c r="CJ333" s="243"/>
      <c r="CK333" s="243"/>
      <c r="CL333" s="243"/>
      <c r="CM333" s="233"/>
      <c r="CN333" s="233"/>
      <c r="CO333" s="233"/>
      <c r="CP333" s="233"/>
      <c r="CQ333" s="233"/>
      <c r="CR333" s="233"/>
      <c r="CS333" s="233"/>
      <c r="CT333" s="233"/>
      <c r="CU333" s="233"/>
      <c r="CV333" s="233"/>
      <c r="CW333" s="233"/>
      <c r="CX333" s="233"/>
      <c r="CY333" s="233"/>
      <c r="CZ333" s="233"/>
      <c r="DA333" s="233"/>
      <c r="DB333" s="233"/>
      <c r="DC333" s="233"/>
      <c r="DD333" s="233"/>
    </row>
    <row r="334" spans="78:108" x14ac:dyDescent="0.25">
      <c r="BZ334" s="243"/>
      <c r="CG334" s="243"/>
      <c r="CH334" s="243"/>
      <c r="CI334" s="243"/>
      <c r="CJ334" s="243"/>
      <c r="CK334" s="243"/>
      <c r="CL334" s="243"/>
      <c r="CM334" s="233"/>
      <c r="CN334" s="233"/>
      <c r="CO334" s="233"/>
      <c r="CP334" s="233"/>
      <c r="CQ334" s="233"/>
      <c r="CR334" s="233"/>
      <c r="CS334" s="233"/>
      <c r="CT334" s="233"/>
      <c r="CU334" s="233"/>
      <c r="CV334" s="233"/>
      <c r="CW334" s="233"/>
      <c r="CX334" s="233"/>
      <c r="CY334" s="233"/>
      <c r="CZ334" s="233"/>
      <c r="DA334" s="233"/>
      <c r="DB334" s="233"/>
      <c r="DC334" s="233"/>
      <c r="DD334" s="233"/>
    </row>
    <row r="335" spans="78:108" x14ac:dyDescent="0.25">
      <c r="BZ335" s="243"/>
      <c r="CG335" s="243"/>
      <c r="CH335" s="243"/>
      <c r="CI335" s="243"/>
      <c r="CJ335" s="243"/>
      <c r="CK335" s="243"/>
      <c r="CL335" s="243"/>
      <c r="CM335" s="233"/>
      <c r="CN335" s="233"/>
      <c r="CO335" s="233"/>
      <c r="CP335" s="233"/>
      <c r="CQ335" s="233"/>
      <c r="CR335" s="233"/>
      <c r="CS335" s="233"/>
      <c r="CT335" s="233"/>
      <c r="CU335" s="233"/>
      <c r="CV335" s="233"/>
      <c r="CW335" s="233"/>
      <c r="CX335" s="233"/>
      <c r="CY335" s="233"/>
      <c r="CZ335" s="233"/>
      <c r="DA335" s="233"/>
      <c r="DB335" s="233"/>
      <c r="DC335" s="233"/>
      <c r="DD335" s="233"/>
    </row>
    <row r="336" spans="78:108" x14ac:dyDescent="0.25">
      <c r="BZ336" s="243"/>
      <c r="CG336" s="243"/>
      <c r="CH336" s="243"/>
      <c r="CI336" s="243"/>
      <c r="CJ336" s="243"/>
      <c r="CK336" s="243"/>
      <c r="CL336" s="243"/>
      <c r="CM336" s="233"/>
      <c r="CN336" s="233"/>
      <c r="CO336" s="233"/>
      <c r="CP336" s="233"/>
      <c r="CQ336" s="233"/>
      <c r="CR336" s="233"/>
      <c r="CS336" s="233"/>
      <c r="CT336" s="233"/>
      <c r="CU336" s="233"/>
      <c r="CV336" s="233"/>
      <c r="CW336" s="233"/>
      <c r="CX336" s="233"/>
      <c r="CY336" s="233"/>
      <c r="CZ336" s="233"/>
      <c r="DA336" s="233"/>
      <c r="DB336" s="233"/>
      <c r="DC336" s="233"/>
      <c r="DD336" s="233"/>
    </row>
    <row r="337" spans="78:108" x14ac:dyDescent="0.25">
      <c r="BZ337" s="243"/>
      <c r="CG337" s="243"/>
      <c r="CH337" s="243"/>
      <c r="CI337" s="243"/>
      <c r="CJ337" s="243"/>
      <c r="CK337" s="243"/>
      <c r="CL337" s="243"/>
      <c r="CM337" s="233"/>
      <c r="CN337" s="233"/>
      <c r="CO337" s="233"/>
      <c r="CP337" s="233"/>
      <c r="CQ337" s="233"/>
      <c r="CR337" s="233"/>
      <c r="CS337" s="233"/>
      <c r="CT337" s="233"/>
      <c r="CU337" s="233"/>
      <c r="CV337" s="233"/>
      <c r="CW337" s="233"/>
      <c r="CX337" s="233"/>
      <c r="CY337" s="233"/>
      <c r="CZ337" s="233"/>
      <c r="DA337" s="233"/>
      <c r="DB337" s="233"/>
      <c r="DC337" s="233"/>
      <c r="DD337" s="233"/>
    </row>
    <row r="338" spans="78:108" x14ac:dyDescent="0.25">
      <c r="BZ338" s="243"/>
      <c r="CG338" s="243"/>
      <c r="CH338" s="243"/>
      <c r="CI338" s="243"/>
      <c r="CJ338" s="243"/>
      <c r="CK338" s="243"/>
      <c r="CL338" s="243"/>
      <c r="CM338" s="233"/>
      <c r="CN338" s="233"/>
      <c r="CO338" s="233"/>
      <c r="CP338" s="233"/>
      <c r="CQ338" s="233"/>
      <c r="CR338" s="233"/>
      <c r="CS338" s="233"/>
      <c r="CT338" s="233"/>
      <c r="CU338" s="233"/>
      <c r="CV338" s="233"/>
      <c r="CW338" s="233"/>
      <c r="CX338" s="233"/>
      <c r="CY338" s="233"/>
      <c r="CZ338" s="233"/>
      <c r="DA338" s="233"/>
      <c r="DB338" s="233"/>
      <c r="DC338" s="233"/>
      <c r="DD338" s="233"/>
    </row>
    <row r="339" spans="78:108" x14ac:dyDescent="0.25">
      <c r="BZ339" s="243"/>
      <c r="CG339" s="243"/>
      <c r="CH339" s="243"/>
      <c r="CI339" s="243"/>
      <c r="CJ339" s="243"/>
      <c r="CK339" s="243"/>
      <c r="CL339" s="243"/>
      <c r="CM339" s="233"/>
      <c r="CN339" s="233"/>
      <c r="CO339" s="233"/>
      <c r="CP339" s="233"/>
      <c r="CQ339" s="233"/>
      <c r="CR339" s="233"/>
      <c r="CS339" s="233"/>
      <c r="CT339" s="233"/>
      <c r="CU339" s="233"/>
      <c r="CV339" s="233"/>
      <c r="CW339" s="233"/>
      <c r="CX339" s="233"/>
      <c r="CY339" s="233"/>
      <c r="CZ339" s="233"/>
      <c r="DA339" s="233"/>
      <c r="DB339" s="233"/>
      <c r="DC339" s="233"/>
      <c r="DD339" s="233"/>
    </row>
    <row r="340" spans="78:108" x14ac:dyDescent="0.25">
      <c r="BZ340" s="243"/>
      <c r="CG340" s="243"/>
      <c r="CH340" s="243"/>
      <c r="CI340" s="243"/>
      <c r="CJ340" s="243"/>
      <c r="CK340" s="243"/>
      <c r="CL340" s="243"/>
      <c r="CM340" s="233"/>
      <c r="CN340" s="233"/>
      <c r="CO340" s="233"/>
      <c r="CP340" s="233"/>
      <c r="CQ340" s="233"/>
      <c r="CR340" s="233"/>
      <c r="CS340" s="233"/>
      <c r="CT340" s="233"/>
      <c r="CU340" s="233"/>
      <c r="CV340" s="233"/>
      <c r="CW340" s="233"/>
      <c r="CX340" s="233"/>
      <c r="CY340" s="233"/>
      <c r="CZ340" s="233"/>
      <c r="DA340" s="233"/>
      <c r="DB340" s="233"/>
      <c r="DC340" s="233"/>
      <c r="DD340" s="233"/>
    </row>
    <row r="341" spans="78:108" x14ac:dyDescent="0.25">
      <c r="BZ341" s="243"/>
      <c r="CG341" s="243"/>
      <c r="CH341" s="243"/>
      <c r="CI341" s="243"/>
      <c r="CJ341" s="243"/>
      <c r="CK341" s="243"/>
      <c r="CL341" s="243"/>
      <c r="CM341" s="233"/>
      <c r="CN341" s="233"/>
      <c r="CO341" s="233"/>
      <c r="CP341" s="233"/>
      <c r="CQ341" s="233"/>
      <c r="CR341" s="233"/>
      <c r="CS341" s="233"/>
      <c r="CT341" s="233"/>
      <c r="CU341" s="233"/>
      <c r="CV341" s="233"/>
      <c r="CW341" s="233"/>
      <c r="CX341" s="233"/>
      <c r="CY341" s="233"/>
      <c r="CZ341" s="233"/>
      <c r="DA341" s="233"/>
      <c r="DB341" s="233"/>
      <c r="DC341" s="233"/>
      <c r="DD341" s="233"/>
    </row>
    <row r="342" spans="78:108" x14ac:dyDescent="0.25">
      <c r="BZ342" s="243"/>
      <c r="CG342" s="243"/>
      <c r="CH342" s="243"/>
      <c r="CI342" s="243"/>
      <c r="CJ342" s="243"/>
      <c r="CK342" s="243"/>
      <c r="CL342" s="243"/>
      <c r="CM342" s="233"/>
      <c r="CN342" s="233"/>
      <c r="CO342" s="233"/>
      <c r="CP342" s="233"/>
      <c r="CQ342" s="233"/>
      <c r="CR342" s="233"/>
      <c r="CS342" s="233"/>
      <c r="CT342" s="233"/>
      <c r="CU342" s="233"/>
      <c r="CV342" s="233"/>
      <c r="CW342" s="233"/>
      <c r="CX342" s="233"/>
      <c r="CY342" s="233"/>
      <c r="CZ342" s="233"/>
      <c r="DA342" s="233"/>
      <c r="DB342" s="233"/>
      <c r="DC342" s="233"/>
      <c r="DD342" s="233"/>
    </row>
    <row r="343" spans="78:108" x14ac:dyDescent="0.25">
      <c r="BZ343" s="243"/>
      <c r="CG343" s="243"/>
      <c r="CH343" s="243"/>
      <c r="CI343" s="243"/>
      <c r="CJ343" s="243"/>
      <c r="CK343" s="243"/>
      <c r="CL343" s="243"/>
      <c r="CM343" s="233"/>
      <c r="CN343" s="233"/>
      <c r="CO343" s="233"/>
      <c r="CP343" s="233"/>
      <c r="CQ343" s="233"/>
      <c r="CR343" s="233"/>
      <c r="CS343" s="233"/>
      <c r="CT343" s="233"/>
      <c r="CU343" s="233"/>
      <c r="CV343" s="233"/>
      <c r="CW343" s="233"/>
      <c r="CX343" s="233"/>
      <c r="CY343" s="233"/>
      <c r="CZ343" s="233"/>
      <c r="DA343" s="233"/>
      <c r="DB343" s="233"/>
      <c r="DC343" s="233"/>
      <c r="DD343" s="233"/>
    </row>
    <row r="344" spans="78:108" x14ac:dyDescent="0.25">
      <c r="BZ344" s="243"/>
      <c r="CG344" s="243"/>
      <c r="CH344" s="243"/>
      <c r="CI344" s="243"/>
      <c r="CJ344" s="243"/>
      <c r="CK344" s="243"/>
      <c r="CL344" s="243"/>
      <c r="CM344" s="233"/>
      <c r="CN344" s="233"/>
      <c r="CO344" s="233"/>
      <c r="CP344" s="233"/>
      <c r="CQ344" s="233"/>
      <c r="CR344" s="233"/>
      <c r="CS344" s="233"/>
      <c r="CT344" s="233"/>
      <c r="CU344" s="233"/>
      <c r="CV344" s="233"/>
      <c r="CW344" s="233"/>
      <c r="CX344" s="233"/>
      <c r="CY344" s="233"/>
      <c r="CZ344" s="233"/>
      <c r="DA344" s="233"/>
      <c r="DB344" s="233"/>
      <c r="DC344" s="233"/>
      <c r="DD344" s="233"/>
    </row>
    <row r="345" spans="78:108" x14ac:dyDescent="0.25">
      <c r="BZ345" s="243"/>
      <c r="CG345" s="243"/>
      <c r="CH345" s="243"/>
      <c r="CI345" s="243"/>
      <c r="CJ345" s="243"/>
      <c r="CK345" s="243"/>
      <c r="CL345" s="243"/>
      <c r="CM345" s="233"/>
      <c r="CN345" s="233"/>
      <c r="CO345" s="233"/>
      <c r="CP345" s="233"/>
      <c r="CQ345" s="233"/>
      <c r="CR345" s="233"/>
      <c r="CS345" s="233"/>
      <c r="CT345" s="233"/>
      <c r="CU345" s="233"/>
      <c r="CV345" s="233"/>
      <c r="CW345" s="233"/>
      <c r="CX345" s="233"/>
      <c r="CY345" s="233"/>
      <c r="CZ345" s="233"/>
      <c r="DA345" s="233"/>
      <c r="DB345" s="233"/>
      <c r="DC345" s="233"/>
      <c r="DD345" s="233"/>
    </row>
    <row r="346" spans="78:108" x14ac:dyDescent="0.25">
      <c r="BZ346" s="243"/>
      <c r="CG346" s="243"/>
      <c r="CH346" s="243"/>
      <c r="CI346" s="243"/>
      <c r="CJ346" s="243"/>
      <c r="CK346" s="243"/>
      <c r="CL346" s="243"/>
      <c r="CM346" s="233"/>
      <c r="CN346" s="233"/>
      <c r="CO346" s="233"/>
      <c r="CP346" s="233"/>
      <c r="CQ346" s="233"/>
      <c r="CR346" s="233"/>
      <c r="CS346" s="233"/>
      <c r="CT346" s="233"/>
      <c r="CU346" s="233"/>
      <c r="CV346" s="233"/>
      <c r="CW346" s="233"/>
      <c r="CX346" s="233"/>
      <c r="CY346" s="233"/>
      <c r="CZ346" s="233"/>
      <c r="DA346" s="233"/>
      <c r="DB346" s="233"/>
      <c r="DC346" s="233"/>
      <c r="DD346" s="233"/>
    </row>
    <row r="347" spans="78:108" x14ac:dyDescent="0.25">
      <c r="BZ347" s="243"/>
      <c r="CG347" s="243"/>
      <c r="CH347" s="243"/>
      <c r="CI347" s="243"/>
      <c r="CJ347" s="243"/>
      <c r="CK347" s="243"/>
      <c r="CL347" s="243"/>
      <c r="CM347" s="233"/>
      <c r="CN347" s="233"/>
      <c r="CO347" s="233"/>
      <c r="CP347" s="233"/>
      <c r="CQ347" s="233"/>
      <c r="CR347" s="233"/>
      <c r="CS347" s="233"/>
      <c r="CT347" s="233"/>
      <c r="CU347" s="233"/>
      <c r="CV347" s="233"/>
      <c r="CW347" s="233"/>
      <c r="CX347" s="233"/>
      <c r="CY347" s="233"/>
      <c r="CZ347" s="233"/>
      <c r="DA347" s="233"/>
      <c r="DB347" s="233"/>
      <c r="DC347" s="233"/>
      <c r="DD347" s="233"/>
    </row>
    <row r="348" spans="78:108" x14ac:dyDescent="0.25">
      <c r="BZ348" s="243"/>
      <c r="CG348" s="243"/>
      <c r="CH348" s="243"/>
      <c r="CI348" s="243"/>
      <c r="CJ348" s="243"/>
      <c r="CK348" s="243"/>
      <c r="CL348" s="243"/>
      <c r="CM348" s="233"/>
      <c r="CN348" s="233"/>
      <c r="CO348" s="233"/>
      <c r="CP348" s="233"/>
      <c r="CQ348" s="233"/>
      <c r="CR348" s="233"/>
      <c r="CS348" s="233"/>
      <c r="CT348" s="233"/>
      <c r="CU348" s="233"/>
      <c r="CV348" s="233"/>
      <c r="CW348" s="233"/>
      <c r="CX348" s="233"/>
      <c r="CY348" s="233"/>
      <c r="CZ348" s="233"/>
      <c r="DA348" s="233"/>
      <c r="DB348" s="233"/>
      <c r="DC348" s="233"/>
      <c r="DD348" s="233"/>
    </row>
    <row r="349" spans="78:108" x14ac:dyDescent="0.25">
      <c r="BZ349" s="243"/>
      <c r="CG349" s="243"/>
      <c r="CH349" s="243"/>
      <c r="CI349" s="243"/>
      <c r="CJ349" s="243"/>
      <c r="CK349" s="243"/>
      <c r="CL349" s="243"/>
      <c r="CM349" s="233"/>
      <c r="CN349" s="233"/>
      <c r="CO349" s="233"/>
      <c r="CP349" s="233"/>
      <c r="CQ349" s="233"/>
      <c r="CR349" s="233"/>
      <c r="CS349" s="233"/>
      <c r="CT349" s="233"/>
      <c r="CU349" s="233"/>
      <c r="CV349" s="233"/>
      <c r="CW349" s="233"/>
      <c r="CX349" s="233"/>
      <c r="CY349" s="233"/>
      <c r="CZ349" s="233"/>
      <c r="DA349" s="233"/>
      <c r="DB349" s="233"/>
      <c r="DC349" s="233"/>
      <c r="DD349" s="233"/>
    </row>
    <row r="350" spans="78:108" x14ac:dyDescent="0.25">
      <c r="BZ350" s="243"/>
      <c r="CG350" s="243"/>
      <c r="CH350" s="243"/>
      <c r="CI350" s="243"/>
      <c r="CJ350" s="243"/>
      <c r="CK350" s="243"/>
      <c r="CL350" s="243"/>
      <c r="CM350" s="233"/>
      <c r="CN350" s="233"/>
      <c r="CO350" s="233"/>
      <c r="CP350" s="233"/>
      <c r="CQ350" s="233"/>
      <c r="CR350" s="233"/>
      <c r="CS350" s="233"/>
      <c r="CT350" s="233"/>
      <c r="CU350" s="233"/>
      <c r="CV350" s="233"/>
      <c r="CW350" s="233"/>
      <c r="CX350" s="233"/>
      <c r="CY350" s="233"/>
      <c r="CZ350" s="233"/>
      <c r="DA350" s="233"/>
      <c r="DB350" s="233"/>
      <c r="DC350" s="233"/>
      <c r="DD350" s="233"/>
    </row>
    <row r="351" spans="78:108" x14ac:dyDescent="0.25">
      <c r="BZ351" s="243"/>
      <c r="CG351" s="243"/>
      <c r="CH351" s="243"/>
      <c r="CI351" s="243"/>
      <c r="CJ351" s="243"/>
      <c r="CK351" s="243"/>
      <c r="CL351" s="243"/>
      <c r="CM351" s="233"/>
      <c r="CN351" s="233"/>
      <c r="CO351" s="233"/>
      <c r="CP351" s="233"/>
      <c r="CQ351" s="233"/>
      <c r="CR351" s="233"/>
      <c r="CS351" s="233"/>
      <c r="CT351" s="233"/>
      <c r="CU351" s="233"/>
      <c r="CV351" s="233"/>
      <c r="CW351" s="233"/>
      <c r="CX351" s="233"/>
      <c r="CY351" s="233"/>
      <c r="CZ351" s="233"/>
      <c r="DA351" s="233"/>
      <c r="DB351" s="233"/>
      <c r="DC351" s="233"/>
      <c r="DD351" s="233"/>
    </row>
    <row r="352" spans="78:108" x14ac:dyDescent="0.25">
      <c r="BZ352" s="243"/>
      <c r="CG352" s="243"/>
      <c r="CH352" s="243"/>
      <c r="CI352" s="243"/>
      <c r="CJ352" s="243"/>
      <c r="CK352" s="243"/>
      <c r="CL352" s="243"/>
      <c r="CM352" s="233"/>
      <c r="CN352" s="233"/>
      <c r="CO352" s="233"/>
      <c r="CP352" s="233"/>
      <c r="CQ352" s="233"/>
      <c r="CR352" s="233"/>
      <c r="CS352" s="233"/>
      <c r="CT352" s="233"/>
      <c r="CU352" s="233"/>
      <c r="CV352" s="233"/>
      <c r="CW352" s="233"/>
      <c r="CX352" s="233"/>
      <c r="CY352" s="233"/>
      <c r="CZ352" s="233"/>
      <c r="DA352" s="233"/>
      <c r="DB352" s="233"/>
      <c r="DC352" s="233"/>
      <c r="DD352" s="233"/>
    </row>
    <row r="353" spans="78:108" x14ac:dyDescent="0.25">
      <c r="BZ353" s="243"/>
      <c r="CG353" s="243"/>
      <c r="CH353" s="243"/>
      <c r="CI353" s="243"/>
      <c r="CJ353" s="243"/>
      <c r="CK353" s="243"/>
      <c r="CL353" s="243"/>
      <c r="CM353" s="233"/>
      <c r="CN353" s="233"/>
      <c r="CO353" s="233"/>
      <c r="CP353" s="233"/>
      <c r="CQ353" s="233"/>
      <c r="CR353" s="233"/>
      <c r="CS353" s="233"/>
      <c r="CT353" s="233"/>
      <c r="CU353" s="233"/>
      <c r="CV353" s="233"/>
      <c r="CW353" s="233"/>
      <c r="CX353" s="233"/>
      <c r="CY353" s="233"/>
      <c r="CZ353" s="233"/>
      <c r="DA353" s="233"/>
      <c r="DB353" s="233"/>
      <c r="DC353" s="233"/>
      <c r="DD353" s="233"/>
    </row>
    <row r="354" spans="78:108" x14ac:dyDescent="0.25">
      <c r="BZ354" s="243"/>
      <c r="CG354" s="243"/>
      <c r="CH354" s="243"/>
      <c r="CI354" s="243"/>
      <c r="CJ354" s="243"/>
      <c r="CK354" s="243"/>
      <c r="CL354" s="243"/>
      <c r="CM354" s="233"/>
      <c r="CN354" s="233"/>
      <c r="CO354" s="233"/>
      <c r="CP354" s="233"/>
      <c r="CQ354" s="233"/>
      <c r="CR354" s="233"/>
      <c r="CS354" s="233"/>
      <c r="CT354" s="233"/>
      <c r="CU354" s="233"/>
      <c r="CV354" s="233"/>
      <c r="CW354" s="233"/>
      <c r="CX354" s="233"/>
      <c r="CY354" s="233"/>
      <c r="CZ354" s="233"/>
      <c r="DA354" s="233"/>
      <c r="DB354" s="233"/>
      <c r="DC354" s="233"/>
      <c r="DD354" s="233"/>
    </row>
    <row r="355" spans="78:108" x14ac:dyDescent="0.25">
      <c r="BZ355" s="243"/>
      <c r="CG355" s="243"/>
      <c r="CH355" s="243"/>
      <c r="CI355" s="243"/>
      <c r="CJ355" s="243"/>
      <c r="CK355" s="243"/>
      <c r="CL355" s="243"/>
      <c r="CM355" s="233"/>
      <c r="CN355" s="233"/>
      <c r="CO355" s="233"/>
      <c r="CP355" s="233"/>
      <c r="CQ355" s="233"/>
      <c r="CR355" s="233"/>
      <c r="CS355" s="233"/>
      <c r="CT355" s="233"/>
      <c r="CU355" s="233"/>
      <c r="CV355" s="233"/>
      <c r="CW355" s="233"/>
      <c r="CX355" s="233"/>
      <c r="CY355" s="233"/>
      <c r="CZ355" s="233"/>
      <c r="DA355" s="233"/>
      <c r="DB355" s="233"/>
      <c r="DC355" s="233"/>
      <c r="DD355" s="233"/>
    </row>
    <row r="356" spans="78:108" x14ac:dyDescent="0.25">
      <c r="BZ356" s="243"/>
      <c r="CG356" s="243"/>
      <c r="CH356" s="243"/>
      <c r="CI356" s="243"/>
      <c r="CJ356" s="243"/>
      <c r="CK356" s="243"/>
      <c r="CL356" s="243"/>
      <c r="CM356" s="233"/>
      <c r="CN356" s="233"/>
      <c r="CO356" s="233"/>
      <c r="CP356" s="233"/>
      <c r="CQ356" s="233"/>
      <c r="CR356" s="233"/>
      <c r="CS356" s="233"/>
      <c r="CT356" s="233"/>
      <c r="CU356" s="233"/>
      <c r="CV356" s="233"/>
      <c r="CW356" s="233"/>
      <c r="CX356" s="233"/>
      <c r="CY356" s="233"/>
      <c r="CZ356" s="233"/>
      <c r="DA356" s="233"/>
      <c r="DB356" s="233"/>
      <c r="DC356" s="233"/>
      <c r="DD356" s="233"/>
    </row>
    <row r="357" spans="78:108" x14ac:dyDescent="0.25">
      <c r="BZ357" s="243"/>
      <c r="CG357" s="243"/>
      <c r="CH357" s="243"/>
      <c r="CI357" s="243"/>
      <c r="CJ357" s="243"/>
      <c r="CK357" s="243"/>
      <c r="CL357" s="243"/>
      <c r="CM357" s="233"/>
      <c r="CN357" s="233"/>
      <c r="CO357" s="233"/>
      <c r="CP357" s="233"/>
      <c r="CQ357" s="233"/>
      <c r="CR357" s="233"/>
      <c r="CS357" s="233"/>
      <c r="CT357" s="233"/>
      <c r="CU357" s="233"/>
      <c r="CV357" s="233"/>
      <c r="CW357" s="233"/>
      <c r="CX357" s="233"/>
      <c r="CY357" s="233"/>
      <c r="CZ357" s="233"/>
      <c r="DA357" s="233"/>
      <c r="DB357" s="233"/>
      <c r="DC357" s="233"/>
      <c r="DD357" s="233"/>
    </row>
    <row r="358" spans="78:108" x14ac:dyDescent="0.25">
      <c r="BZ358" s="243"/>
      <c r="CG358" s="243"/>
      <c r="CH358" s="243"/>
      <c r="CI358" s="243"/>
      <c r="CJ358" s="243"/>
      <c r="CK358" s="243"/>
      <c r="CL358" s="243"/>
      <c r="CM358" s="233"/>
      <c r="CN358" s="233"/>
      <c r="CO358" s="233"/>
      <c r="CP358" s="233"/>
      <c r="CQ358" s="233"/>
      <c r="CR358" s="233"/>
      <c r="CS358" s="233"/>
      <c r="CT358" s="233"/>
      <c r="CU358" s="233"/>
      <c r="CV358" s="233"/>
      <c r="CW358" s="233"/>
      <c r="CX358" s="233"/>
      <c r="CY358" s="233"/>
      <c r="CZ358" s="233"/>
      <c r="DA358" s="233"/>
      <c r="DB358" s="233"/>
      <c r="DC358" s="233"/>
      <c r="DD358" s="233"/>
    </row>
    <row r="359" spans="78:108" x14ac:dyDescent="0.25">
      <c r="BZ359" s="243"/>
      <c r="CG359" s="243"/>
      <c r="CH359" s="243"/>
      <c r="CI359" s="243"/>
      <c r="CJ359" s="243"/>
      <c r="CK359" s="243"/>
      <c r="CL359" s="243"/>
      <c r="CM359" s="233"/>
      <c r="CN359" s="233"/>
      <c r="CO359" s="233"/>
      <c r="CP359" s="233"/>
      <c r="CQ359" s="233"/>
      <c r="CR359" s="233"/>
      <c r="CS359" s="233"/>
      <c r="CT359" s="233"/>
      <c r="CU359" s="233"/>
      <c r="CV359" s="233"/>
      <c r="CW359" s="233"/>
      <c r="CX359" s="233"/>
      <c r="CY359" s="233"/>
      <c r="CZ359" s="233"/>
      <c r="DA359" s="233"/>
      <c r="DB359" s="233"/>
      <c r="DC359" s="233"/>
      <c r="DD359" s="233"/>
    </row>
    <row r="360" spans="78:108" x14ac:dyDescent="0.25">
      <c r="BZ360" s="243"/>
      <c r="CG360" s="243"/>
      <c r="CH360" s="243"/>
      <c r="CI360" s="243"/>
      <c r="CJ360" s="243"/>
      <c r="CK360" s="243"/>
      <c r="CL360" s="243"/>
      <c r="CM360" s="233"/>
      <c r="CN360" s="233"/>
      <c r="CO360" s="233"/>
      <c r="CP360" s="233"/>
      <c r="CQ360" s="233"/>
      <c r="CR360" s="233"/>
      <c r="CS360" s="233"/>
      <c r="CT360" s="233"/>
      <c r="CU360" s="233"/>
      <c r="CV360" s="233"/>
      <c r="CW360" s="233"/>
      <c r="CX360" s="233"/>
      <c r="CY360" s="233"/>
      <c r="CZ360" s="233"/>
      <c r="DA360" s="233"/>
      <c r="DB360" s="233"/>
      <c r="DC360" s="233"/>
      <c r="DD360" s="233"/>
    </row>
    <row r="361" spans="78:108" x14ac:dyDescent="0.25">
      <c r="BZ361" s="243"/>
      <c r="CG361" s="243"/>
      <c r="CH361" s="243"/>
      <c r="CI361" s="243"/>
      <c r="CJ361" s="243"/>
      <c r="CK361" s="243"/>
      <c r="CL361" s="243"/>
      <c r="CM361" s="233"/>
      <c r="CN361" s="233"/>
      <c r="CO361" s="233"/>
      <c r="CP361" s="233"/>
      <c r="CQ361" s="233"/>
      <c r="CR361" s="233"/>
      <c r="CS361" s="233"/>
      <c r="CT361" s="233"/>
      <c r="CU361" s="233"/>
      <c r="CV361" s="233"/>
      <c r="CW361" s="233"/>
      <c r="CX361" s="233"/>
      <c r="CY361" s="233"/>
      <c r="CZ361" s="233"/>
      <c r="DA361" s="233"/>
      <c r="DB361" s="233"/>
      <c r="DC361" s="233"/>
      <c r="DD361" s="233"/>
    </row>
    <row r="362" spans="78:108" x14ac:dyDescent="0.25">
      <c r="BZ362" s="243"/>
      <c r="CG362" s="243"/>
      <c r="CH362" s="243"/>
      <c r="CI362" s="243"/>
      <c r="CJ362" s="243"/>
      <c r="CK362" s="243"/>
      <c r="CL362" s="243"/>
      <c r="CM362" s="233"/>
      <c r="CN362" s="233"/>
      <c r="CO362" s="233"/>
      <c r="CP362" s="233"/>
      <c r="CQ362" s="233"/>
      <c r="CR362" s="233"/>
      <c r="CS362" s="233"/>
      <c r="CT362" s="233"/>
      <c r="CU362" s="233"/>
      <c r="CV362" s="233"/>
      <c r="CW362" s="233"/>
      <c r="CX362" s="233"/>
      <c r="CY362" s="233"/>
      <c r="CZ362" s="233"/>
      <c r="DA362" s="233"/>
      <c r="DB362" s="233"/>
      <c r="DC362" s="233"/>
      <c r="DD362" s="233"/>
    </row>
    <row r="363" spans="78:108" x14ac:dyDescent="0.25">
      <c r="BZ363" s="243"/>
      <c r="CG363" s="243"/>
      <c r="CH363" s="243"/>
      <c r="CI363" s="243"/>
      <c r="CJ363" s="243"/>
      <c r="CK363" s="243"/>
      <c r="CL363" s="243"/>
      <c r="CM363" s="233"/>
      <c r="CN363" s="233"/>
      <c r="CO363" s="233"/>
      <c r="CP363" s="233"/>
      <c r="CQ363" s="233"/>
      <c r="CR363" s="233"/>
      <c r="CS363" s="233"/>
      <c r="CT363" s="233"/>
      <c r="CU363" s="233"/>
      <c r="CV363" s="233"/>
      <c r="CW363" s="233"/>
      <c r="CX363" s="233"/>
      <c r="CY363" s="233"/>
      <c r="CZ363" s="233"/>
      <c r="DA363" s="233"/>
      <c r="DB363" s="233"/>
      <c r="DC363" s="233"/>
      <c r="DD363" s="233"/>
    </row>
    <row r="364" spans="78:108" x14ac:dyDescent="0.25">
      <c r="BZ364" s="243"/>
      <c r="CG364" s="243"/>
      <c r="CH364" s="243"/>
      <c r="CI364" s="243"/>
      <c r="CJ364" s="243"/>
      <c r="CK364" s="243"/>
      <c r="CL364" s="243"/>
      <c r="CM364" s="233"/>
      <c r="CN364" s="233"/>
      <c r="CO364" s="233"/>
      <c r="CP364" s="233"/>
      <c r="CQ364" s="233"/>
      <c r="CR364" s="233"/>
      <c r="CS364" s="233"/>
      <c r="CT364" s="233"/>
      <c r="CU364" s="233"/>
      <c r="CV364" s="233"/>
      <c r="CW364" s="233"/>
      <c r="CX364" s="233"/>
      <c r="CY364" s="233"/>
      <c r="CZ364" s="233"/>
      <c r="DA364" s="233"/>
      <c r="DB364" s="233"/>
      <c r="DC364" s="233"/>
      <c r="DD364" s="233"/>
    </row>
    <row r="365" spans="78:108" x14ac:dyDescent="0.25">
      <c r="BZ365" s="243"/>
      <c r="CG365" s="243"/>
      <c r="CH365" s="243"/>
      <c r="CI365" s="243"/>
      <c r="CJ365" s="243"/>
      <c r="CK365" s="243"/>
      <c r="CL365" s="243"/>
      <c r="CM365" s="233"/>
      <c r="CN365" s="233"/>
      <c r="CO365" s="233"/>
      <c r="CP365" s="233"/>
      <c r="CQ365" s="233"/>
      <c r="CR365" s="233"/>
      <c r="CS365" s="233"/>
      <c r="CT365" s="233"/>
      <c r="CU365" s="233"/>
      <c r="CV365" s="233"/>
      <c r="CW365" s="233"/>
      <c r="CX365" s="233"/>
      <c r="CY365" s="233"/>
      <c r="CZ365" s="233"/>
      <c r="DA365" s="233"/>
      <c r="DB365" s="233"/>
      <c r="DC365" s="233"/>
      <c r="DD365" s="233"/>
    </row>
    <row r="366" spans="78:108" x14ac:dyDescent="0.25">
      <c r="BZ366" s="243"/>
      <c r="CG366" s="243"/>
      <c r="CH366" s="243"/>
      <c r="CI366" s="243"/>
      <c r="CJ366" s="243"/>
      <c r="CK366" s="243"/>
      <c r="CL366" s="243"/>
      <c r="CM366" s="233"/>
      <c r="CN366" s="233"/>
      <c r="CO366" s="233"/>
      <c r="CP366" s="233"/>
      <c r="CQ366" s="233"/>
      <c r="CR366" s="233"/>
      <c r="CS366" s="233"/>
      <c r="CT366" s="233"/>
      <c r="CU366" s="233"/>
      <c r="CV366" s="233"/>
      <c r="CW366" s="233"/>
      <c r="CX366" s="233"/>
      <c r="CY366" s="233"/>
      <c r="CZ366" s="233"/>
      <c r="DA366" s="233"/>
      <c r="DB366" s="233"/>
      <c r="DC366" s="233"/>
      <c r="DD366" s="233"/>
    </row>
    <row r="367" spans="78:108" x14ac:dyDescent="0.25">
      <c r="BZ367" s="243"/>
      <c r="CG367" s="243"/>
      <c r="CH367" s="243"/>
      <c r="CI367" s="243"/>
      <c r="CJ367" s="243"/>
      <c r="CK367" s="243"/>
      <c r="CL367" s="243"/>
      <c r="CM367" s="233"/>
      <c r="CN367" s="233"/>
      <c r="CO367" s="233"/>
      <c r="CP367" s="233"/>
      <c r="CQ367" s="233"/>
      <c r="CR367" s="233"/>
      <c r="CS367" s="233"/>
      <c r="CT367" s="233"/>
      <c r="CU367" s="233"/>
      <c r="CV367" s="233"/>
      <c r="CW367" s="233"/>
      <c r="CX367" s="233"/>
      <c r="CY367" s="233"/>
      <c r="CZ367" s="233"/>
      <c r="DA367" s="233"/>
      <c r="DB367" s="233"/>
      <c r="DC367" s="233"/>
      <c r="DD367" s="233"/>
    </row>
    <row r="368" spans="78:108" x14ac:dyDescent="0.25">
      <c r="BZ368" s="243"/>
      <c r="CG368" s="243"/>
      <c r="CH368" s="243"/>
      <c r="CI368" s="243"/>
      <c r="CJ368" s="243"/>
      <c r="CK368" s="243"/>
      <c r="CL368" s="243"/>
      <c r="CM368" s="233"/>
      <c r="CN368" s="233"/>
      <c r="CO368" s="233"/>
      <c r="CP368" s="233"/>
      <c r="CQ368" s="233"/>
      <c r="CR368" s="233"/>
      <c r="CS368" s="233"/>
      <c r="CT368" s="233"/>
      <c r="CU368" s="233"/>
      <c r="CV368" s="233"/>
      <c r="CW368" s="233"/>
      <c r="CX368" s="233"/>
      <c r="CY368" s="233"/>
      <c r="CZ368" s="233"/>
      <c r="DA368" s="233"/>
      <c r="DB368" s="233"/>
      <c r="DC368" s="233"/>
      <c r="DD368" s="233"/>
    </row>
    <row r="369" spans="78:108" x14ac:dyDescent="0.25">
      <c r="BZ369" s="243"/>
      <c r="CG369" s="243"/>
      <c r="CH369" s="243"/>
      <c r="CI369" s="243"/>
      <c r="CJ369" s="243"/>
      <c r="CK369" s="243"/>
      <c r="CL369" s="243"/>
      <c r="CM369" s="233"/>
      <c r="CN369" s="233"/>
      <c r="CO369" s="233"/>
      <c r="CP369" s="233"/>
      <c r="CQ369" s="233"/>
      <c r="CR369" s="233"/>
      <c r="CS369" s="233"/>
      <c r="CT369" s="233"/>
      <c r="CU369" s="233"/>
      <c r="CV369" s="233"/>
      <c r="CW369" s="233"/>
      <c r="CX369" s="233"/>
      <c r="CY369" s="233"/>
      <c r="CZ369" s="233"/>
      <c r="DA369" s="233"/>
      <c r="DB369" s="233"/>
      <c r="DC369" s="233"/>
      <c r="DD369" s="233"/>
    </row>
    <row r="370" spans="78:108" x14ac:dyDescent="0.25">
      <c r="BZ370" s="243"/>
      <c r="CG370" s="243"/>
      <c r="CH370" s="243"/>
      <c r="CI370" s="243"/>
      <c r="CJ370" s="243"/>
      <c r="CK370" s="243"/>
      <c r="CL370" s="243"/>
      <c r="CM370" s="233"/>
      <c r="CN370" s="233"/>
      <c r="CO370" s="233"/>
      <c r="CP370" s="233"/>
      <c r="CQ370" s="233"/>
      <c r="CR370" s="233"/>
      <c r="CS370" s="233"/>
      <c r="CT370" s="233"/>
      <c r="CU370" s="233"/>
      <c r="CV370" s="233"/>
      <c r="CW370" s="233"/>
      <c r="CX370" s="233"/>
      <c r="CY370" s="233"/>
      <c r="CZ370" s="233"/>
      <c r="DA370" s="233"/>
      <c r="DB370" s="233"/>
      <c r="DC370" s="233"/>
      <c r="DD370" s="233"/>
    </row>
    <row r="371" spans="78:108" x14ac:dyDescent="0.25">
      <c r="BZ371" s="243"/>
      <c r="CG371" s="243"/>
      <c r="CH371" s="243"/>
      <c r="CI371" s="243"/>
      <c r="CJ371" s="243"/>
      <c r="CK371" s="243"/>
      <c r="CL371" s="243"/>
      <c r="CM371" s="233"/>
      <c r="CN371" s="233"/>
      <c r="CO371" s="233"/>
      <c r="CP371" s="233"/>
      <c r="CQ371" s="233"/>
      <c r="CR371" s="233"/>
      <c r="CS371" s="233"/>
      <c r="CT371" s="233"/>
      <c r="CU371" s="233"/>
      <c r="CV371" s="233"/>
      <c r="CW371" s="233"/>
      <c r="CX371" s="233"/>
      <c r="CY371" s="233"/>
      <c r="CZ371" s="233"/>
      <c r="DA371" s="233"/>
      <c r="DB371" s="233"/>
      <c r="DC371" s="233"/>
      <c r="DD371" s="233"/>
    </row>
    <row r="372" spans="78:108" x14ac:dyDescent="0.25">
      <c r="BZ372" s="243"/>
      <c r="CG372" s="243"/>
      <c r="CH372" s="243"/>
      <c r="CI372" s="243"/>
      <c r="CJ372" s="243"/>
      <c r="CK372" s="243"/>
      <c r="CL372" s="243"/>
      <c r="CM372" s="233"/>
      <c r="CN372" s="233"/>
      <c r="CO372" s="233"/>
      <c r="CP372" s="233"/>
      <c r="CQ372" s="233"/>
      <c r="CR372" s="233"/>
      <c r="CS372" s="233"/>
      <c r="CT372" s="233"/>
      <c r="CU372" s="233"/>
      <c r="CV372" s="233"/>
      <c r="CW372" s="233"/>
      <c r="CX372" s="233"/>
      <c r="CY372" s="233"/>
      <c r="CZ372" s="233"/>
      <c r="DA372" s="233"/>
      <c r="DB372" s="233"/>
      <c r="DC372" s="233"/>
      <c r="DD372" s="233"/>
    </row>
    <row r="373" spans="78:108" x14ac:dyDescent="0.25">
      <c r="BZ373" s="243"/>
      <c r="CG373" s="243"/>
      <c r="CH373" s="243"/>
      <c r="CI373" s="243"/>
      <c r="CJ373" s="243"/>
      <c r="CK373" s="243"/>
      <c r="CL373" s="243"/>
      <c r="CM373" s="233"/>
      <c r="CN373" s="233"/>
      <c r="CO373" s="233"/>
      <c r="CP373" s="233"/>
      <c r="CQ373" s="233"/>
      <c r="CR373" s="233"/>
      <c r="CS373" s="233"/>
      <c r="CT373" s="233"/>
      <c r="CU373" s="233"/>
      <c r="CV373" s="233"/>
      <c r="CW373" s="233"/>
      <c r="CX373" s="233"/>
      <c r="CY373" s="233"/>
      <c r="CZ373" s="233"/>
      <c r="DA373" s="233"/>
      <c r="DB373" s="233"/>
      <c r="DC373" s="233"/>
      <c r="DD373" s="233"/>
    </row>
    <row r="374" spans="78:108" x14ac:dyDescent="0.25">
      <c r="BZ374" s="243"/>
      <c r="CG374" s="243"/>
      <c r="CH374" s="243"/>
      <c r="CI374" s="243"/>
      <c r="CJ374" s="243"/>
      <c r="CK374" s="243"/>
      <c r="CL374" s="243"/>
      <c r="CM374" s="233"/>
      <c r="CN374" s="233"/>
      <c r="CO374" s="233"/>
      <c r="CP374" s="233"/>
      <c r="CQ374" s="233"/>
      <c r="CR374" s="233"/>
      <c r="CS374" s="233"/>
      <c r="CT374" s="233"/>
      <c r="CU374" s="233"/>
      <c r="CV374" s="233"/>
      <c r="CW374" s="233"/>
      <c r="CX374" s="233"/>
      <c r="CY374" s="233"/>
      <c r="CZ374" s="233"/>
      <c r="DA374" s="233"/>
      <c r="DB374" s="233"/>
      <c r="DC374" s="233"/>
      <c r="DD374" s="233"/>
    </row>
    <row r="375" spans="78:108" x14ac:dyDescent="0.25">
      <c r="BZ375" s="243"/>
      <c r="CG375" s="243"/>
      <c r="CH375" s="243"/>
      <c r="CI375" s="243"/>
      <c r="CJ375" s="243"/>
      <c r="CK375" s="243"/>
      <c r="CL375" s="243"/>
      <c r="CM375" s="233"/>
      <c r="CN375" s="233"/>
      <c r="CO375" s="233"/>
      <c r="CP375" s="233"/>
      <c r="CQ375" s="233"/>
      <c r="CR375" s="233"/>
      <c r="CS375" s="233"/>
      <c r="CT375" s="233"/>
      <c r="CU375" s="233"/>
      <c r="CV375" s="233"/>
      <c r="CW375" s="233"/>
      <c r="CX375" s="233"/>
      <c r="CY375" s="233"/>
      <c r="CZ375" s="233"/>
      <c r="DA375" s="233"/>
      <c r="DB375" s="233"/>
      <c r="DC375" s="233"/>
      <c r="DD375" s="233"/>
    </row>
    <row r="376" spans="78:108" ht="15" customHeight="1" x14ac:dyDescent="0.25">
      <c r="BZ376" s="243"/>
      <c r="CG376" s="243"/>
      <c r="CH376" s="243"/>
      <c r="CI376" s="243"/>
      <c r="CJ376" s="243"/>
      <c r="CK376" s="243"/>
      <c r="CL376" s="243"/>
      <c r="CM376" s="233"/>
      <c r="CN376" s="233"/>
      <c r="CO376" s="233"/>
      <c r="CP376" s="233"/>
      <c r="CQ376" s="233"/>
      <c r="CR376" s="233"/>
      <c r="CS376" s="233"/>
      <c r="CT376" s="233"/>
      <c r="CU376" s="233"/>
      <c r="CV376" s="233"/>
      <c r="CW376" s="233"/>
      <c r="CX376" s="233"/>
      <c r="CY376" s="233"/>
      <c r="CZ376" s="233"/>
      <c r="DA376" s="233"/>
      <c r="DB376" s="233"/>
      <c r="DC376" s="233"/>
      <c r="DD376" s="233"/>
    </row>
    <row r="377" spans="78:108" x14ac:dyDescent="0.25">
      <c r="BZ377" s="243"/>
      <c r="CG377" s="243"/>
      <c r="CH377" s="243"/>
      <c r="CI377" s="243"/>
      <c r="CJ377" s="243"/>
      <c r="CK377" s="243"/>
      <c r="CL377" s="243"/>
      <c r="CM377" s="233"/>
      <c r="CN377" s="233"/>
      <c r="CO377" s="233"/>
      <c r="CP377" s="233"/>
      <c r="CQ377" s="233"/>
      <c r="CR377" s="233"/>
      <c r="CS377" s="233"/>
      <c r="CT377" s="233"/>
      <c r="CU377" s="233"/>
      <c r="CV377" s="233"/>
      <c r="CW377" s="233"/>
      <c r="CX377" s="233"/>
      <c r="CY377" s="233"/>
      <c r="CZ377" s="233"/>
      <c r="DA377" s="233"/>
      <c r="DB377" s="233"/>
      <c r="DC377" s="233"/>
      <c r="DD377" s="233"/>
    </row>
    <row r="378" spans="78:108" x14ac:dyDescent="0.25">
      <c r="BZ378" s="243"/>
      <c r="CG378" s="243"/>
      <c r="CH378" s="243"/>
      <c r="CI378" s="243"/>
      <c r="CJ378" s="243"/>
      <c r="CK378" s="243"/>
      <c r="CL378" s="243"/>
      <c r="CM378" s="233"/>
      <c r="CN378" s="233"/>
      <c r="CO378" s="233"/>
      <c r="CP378" s="233"/>
      <c r="CQ378" s="233"/>
      <c r="CR378" s="233"/>
      <c r="CS378" s="233"/>
      <c r="CT378" s="233"/>
      <c r="CU378" s="233"/>
      <c r="CV378" s="233"/>
      <c r="CW378" s="233"/>
      <c r="CX378" s="233"/>
      <c r="CY378" s="233"/>
      <c r="CZ378" s="233"/>
      <c r="DA378" s="233"/>
      <c r="DB378" s="233"/>
      <c r="DC378" s="233"/>
      <c r="DD378" s="233"/>
    </row>
    <row r="379" spans="78:108" x14ac:dyDescent="0.25">
      <c r="BZ379" s="243"/>
      <c r="CG379" s="243"/>
      <c r="CH379" s="243"/>
      <c r="CI379" s="243"/>
      <c r="CJ379" s="243"/>
      <c r="CK379" s="243"/>
      <c r="CL379" s="243"/>
      <c r="CM379" s="233"/>
      <c r="CN379" s="233"/>
      <c r="CO379" s="233"/>
      <c r="CP379" s="233"/>
      <c r="CQ379" s="233"/>
      <c r="CR379" s="233"/>
      <c r="CS379" s="233"/>
      <c r="CT379" s="233"/>
      <c r="CU379" s="233"/>
      <c r="CV379" s="233"/>
      <c r="CW379" s="233"/>
      <c r="CX379" s="233"/>
      <c r="CY379" s="233"/>
      <c r="CZ379" s="233"/>
      <c r="DA379" s="233"/>
      <c r="DB379" s="233"/>
      <c r="DC379" s="233"/>
      <c r="DD379" s="233"/>
    </row>
    <row r="380" spans="78:108" x14ac:dyDescent="0.25">
      <c r="BZ380" s="243"/>
      <c r="CG380" s="243"/>
      <c r="CH380" s="243"/>
      <c r="CI380" s="243"/>
      <c r="CJ380" s="243"/>
      <c r="CK380" s="243"/>
      <c r="CL380" s="243"/>
      <c r="CM380" s="233"/>
      <c r="CN380" s="233"/>
      <c r="CO380" s="233"/>
      <c r="CP380" s="233"/>
      <c r="CQ380" s="233"/>
      <c r="CR380" s="233"/>
      <c r="CS380" s="233"/>
      <c r="CT380" s="233"/>
      <c r="CU380" s="233"/>
      <c r="CV380" s="233"/>
      <c r="CW380" s="233"/>
      <c r="CX380" s="233"/>
      <c r="CY380" s="233"/>
      <c r="CZ380" s="233"/>
      <c r="DA380" s="233"/>
      <c r="DB380" s="233"/>
      <c r="DC380" s="233"/>
      <c r="DD380" s="233"/>
    </row>
    <row r="381" spans="78:108" x14ac:dyDescent="0.25">
      <c r="BZ381" s="243"/>
      <c r="CG381" s="243"/>
      <c r="CH381" s="243"/>
      <c r="CI381" s="243"/>
      <c r="CJ381" s="243"/>
      <c r="CK381" s="243"/>
      <c r="CL381" s="243"/>
      <c r="CM381" s="233"/>
      <c r="CN381" s="233"/>
      <c r="CO381" s="233"/>
      <c r="CP381" s="233"/>
      <c r="CQ381" s="233"/>
      <c r="CR381" s="233"/>
      <c r="CS381" s="233"/>
      <c r="CT381" s="233"/>
      <c r="CU381" s="233"/>
      <c r="CV381" s="233"/>
      <c r="CW381" s="233"/>
      <c r="CX381" s="233"/>
      <c r="CY381" s="233"/>
      <c r="CZ381" s="233"/>
      <c r="DA381" s="233"/>
      <c r="DB381" s="233"/>
      <c r="DC381" s="233"/>
      <c r="DD381" s="233"/>
    </row>
    <row r="382" spans="78:108" x14ac:dyDescent="0.25">
      <c r="BZ382" s="243"/>
      <c r="CG382" s="243"/>
      <c r="CH382" s="243"/>
      <c r="CI382" s="243"/>
      <c r="CJ382" s="243"/>
      <c r="CK382" s="243"/>
      <c r="CL382" s="243"/>
      <c r="CM382" s="233"/>
      <c r="CN382" s="233"/>
      <c r="CO382" s="233"/>
      <c r="CP382" s="233"/>
      <c r="CQ382" s="233"/>
      <c r="CR382" s="233"/>
      <c r="CS382" s="233"/>
      <c r="CT382" s="233"/>
      <c r="CU382" s="233"/>
      <c r="CV382" s="233"/>
      <c r="CW382" s="233"/>
      <c r="CX382" s="233"/>
      <c r="CY382" s="233"/>
      <c r="CZ382" s="233"/>
      <c r="DA382" s="233"/>
      <c r="DB382" s="233"/>
      <c r="DC382" s="233"/>
      <c r="DD382" s="233"/>
    </row>
    <row r="383" spans="78:108" x14ac:dyDescent="0.25">
      <c r="BZ383" s="243"/>
      <c r="CG383" s="243"/>
      <c r="CH383" s="243"/>
      <c r="CI383" s="243"/>
      <c r="CJ383" s="243"/>
      <c r="CK383" s="243"/>
      <c r="CL383" s="243"/>
      <c r="CM383" s="233"/>
      <c r="CN383" s="233"/>
      <c r="CO383" s="233"/>
      <c r="CP383" s="233"/>
      <c r="CQ383" s="233"/>
      <c r="CR383" s="233"/>
      <c r="CS383" s="233"/>
      <c r="CT383" s="233"/>
      <c r="CU383" s="233"/>
      <c r="CV383" s="233"/>
      <c r="CW383" s="233"/>
      <c r="CX383" s="233"/>
      <c r="CY383" s="233"/>
      <c r="CZ383" s="233"/>
      <c r="DA383" s="233"/>
      <c r="DB383" s="233"/>
      <c r="DC383" s="233"/>
      <c r="DD383" s="233"/>
    </row>
    <row r="384" spans="78:108" x14ac:dyDescent="0.25">
      <c r="BZ384" s="243"/>
      <c r="CG384" s="243"/>
      <c r="CH384" s="243"/>
      <c r="CI384" s="243"/>
      <c r="CJ384" s="243"/>
      <c r="CK384" s="243"/>
      <c r="CL384" s="243"/>
      <c r="CM384" s="233"/>
      <c r="CN384" s="233"/>
      <c r="CO384" s="233"/>
      <c r="CP384" s="233"/>
      <c r="CQ384" s="233"/>
      <c r="CR384" s="233"/>
      <c r="CS384" s="233"/>
      <c r="CT384" s="233"/>
      <c r="CU384" s="233"/>
      <c r="CV384" s="233"/>
      <c r="CW384" s="233"/>
      <c r="CX384" s="233"/>
      <c r="CY384" s="233"/>
      <c r="CZ384" s="233"/>
      <c r="DA384" s="233"/>
      <c r="DB384" s="233"/>
      <c r="DC384" s="233"/>
      <c r="DD384" s="233"/>
    </row>
    <row r="385" spans="78:108" ht="15" customHeight="1" x14ac:dyDescent="0.25">
      <c r="BZ385" s="243"/>
      <c r="CG385" s="243"/>
      <c r="CH385" s="243"/>
      <c r="CI385" s="243"/>
      <c r="CJ385" s="243"/>
      <c r="CK385" s="243"/>
      <c r="CL385" s="243"/>
      <c r="CM385" s="233"/>
      <c r="CN385" s="233"/>
      <c r="CO385" s="233"/>
      <c r="CP385" s="233"/>
      <c r="CQ385" s="233"/>
      <c r="CR385" s="233"/>
      <c r="CS385" s="233"/>
      <c r="CT385" s="233"/>
      <c r="CU385" s="233"/>
      <c r="CV385" s="233"/>
      <c r="CW385" s="233"/>
      <c r="CX385" s="233"/>
      <c r="CY385" s="233"/>
      <c r="CZ385" s="233"/>
      <c r="DA385" s="233"/>
      <c r="DB385" s="233"/>
      <c r="DC385" s="233"/>
      <c r="DD385" s="233"/>
    </row>
    <row r="386" spans="78:108" x14ac:dyDescent="0.25">
      <c r="BZ386" s="243"/>
      <c r="CG386" s="243"/>
      <c r="CH386" s="243"/>
      <c r="CI386" s="243"/>
      <c r="CJ386" s="243"/>
      <c r="CK386" s="243"/>
      <c r="CL386" s="243"/>
      <c r="CM386" s="233"/>
      <c r="CN386" s="233"/>
      <c r="CO386" s="233"/>
      <c r="CP386" s="233"/>
      <c r="CQ386" s="233"/>
      <c r="CR386" s="233"/>
      <c r="CS386" s="233"/>
      <c r="CT386" s="233"/>
      <c r="CU386" s="233"/>
      <c r="CV386" s="233"/>
      <c r="CW386" s="233"/>
      <c r="CX386" s="233"/>
      <c r="CY386" s="233"/>
      <c r="CZ386" s="233"/>
      <c r="DA386" s="233"/>
      <c r="DB386" s="233"/>
      <c r="DC386" s="233"/>
      <c r="DD386" s="233"/>
    </row>
    <row r="387" spans="78:108" x14ac:dyDescent="0.25">
      <c r="BZ387" s="243"/>
      <c r="CG387" s="243"/>
      <c r="CH387" s="243"/>
      <c r="CI387" s="243"/>
      <c r="CJ387" s="243"/>
      <c r="CK387" s="243"/>
      <c r="CL387" s="243"/>
      <c r="CM387" s="233"/>
      <c r="CN387" s="233"/>
      <c r="CO387" s="233"/>
      <c r="CP387" s="233"/>
      <c r="CQ387" s="233"/>
      <c r="CR387" s="233"/>
      <c r="CS387" s="233"/>
      <c r="CT387" s="233"/>
      <c r="CU387" s="233"/>
      <c r="CV387" s="233"/>
      <c r="CW387" s="233"/>
      <c r="CX387" s="233"/>
      <c r="CY387" s="233"/>
      <c r="CZ387" s="233"/>
      <c r="DA387" s="233"/>
      <c r="DB387" s="233"/>
      <c r="DC387" s="233"/>
      <c r="DD387" s="233"/>
    </row>
    <row r="388" spans="78:108" x14ac:dyDescent="0.25">
      <c r="BZ388" s="243"/>
      <c r="CG388" s="243"/>
      <c r="CH388" s="243"/>
      <c r="CI388" s="243"/>
      <c r="CJ388" s="243"/>
      <c r="CK388" s="243"/>
      <c r="CL388" s="243"/>
      <c r="CM388" s="233"/>
      <c r="CN388" s="233"/>
      <c r="CO388" s="233"/>
      <c r="CP388" s="233"/>
      <c r="CQ388" s="233"/>
      <c r="CR388" s="233"/>
      <c r="CS388" s="233"/>
      <c r="CT388" s="233"/>
      <c r="CU388" s="233"/>
      <c r="CV388" s="233"/>
      <c r="CW388" s="233"/>
      <c r="CX388" s="233"/>
      <c r="CY388" s="233"/>
      <c r="CZ388" s="233"/>
      <c r="DA388" s="233"/>
      <c r="DB388" s="233"/>
      <c r="DC388" s="233"/>
      <c r="DD388" s="233"/>
    </row>
    <row r="389" spans="78:108" x14ac:dyDescent="0.25">
      <c r="BZ389" s="243"/>
      <c r="CG389" s="243"/>
      <c r="CH389" s="243"/>
      <c r="CI389" s="243"/>
      <c r="CJ389" s="243"/>
      <c r="CK389" s="243"/>
      <c r="CL389" s="243"/>
      <c r="CM389" s="233"/>
      <c r="CN389" s="233"/>
      <c r="CO389" s="233"/>
      <c r="CP389" s="233"/>
      <c r="CQ389" s="233"/>
      <c r="CR389" s="233"/>
      <c r="CS389" s="233"/>
      <c r="CT389" s="233"/>
      <c r="CU389" s="233"/>
      <c r="CV389" s="233"/>
      <c r="CW389" s="233"/>
      <c r="CX389" s="233"/>
      <c r="CY389" s="233"/>
      <c r="CZ389" s="233"/>
      <c r="DA389" s="233"/>
      <c r="DB389" s="233"/>
      <c r="DC389" s="233"/>
      <c r="DD389" s="233"/>
    </row>
    <row r="390" spans="78:108" x14ac:dyDescent="0.25">
      <c r="BZ390" s="243"/>
      <c r="CG390" s="243"/>
      <c r="CH390" s="243"/>
      <c r="CI390" s="243"/>
      <c r="CJ390" s="243"/>
      <c r="CK390" s="243"/>
      <c r="CL390" s="243"/>
      <c r="CM390" s="233"/>
      <c r="CN390" s="233"/>
      <c r="CO390" s="233"/>
      <c r="CP390" s="233"/>
      <c r="CQ390" s="233"/>
      <c r="CR390" s="233"/>
      <c r="CS390" s="233"/>
      <c r="CT390" s="233"/>
      <c r="CU390" s="233"/>
      <c r="CV390" s="233"/>
      <c r="CW390" s="233"/>
      <c r="CX390" s="233"/>
      <c r="CY390" s="233"/>
      <c r="CZ390" s="233"/>
      <c r="DA390" s="233"/>
      <c r="DB390" s="233"/>
      <c r="DC390" s="233"/>
      <c r="DD390" s="233"/>
    </row>
    <row r="391" spans="78:108" x14ac:dyDescent="0.25">
      <c r="BZ391" s="243"/>
      <c r="CG391" s="243"/>
      <c r="CH391" s="243"/>
      <c r="CI391" s="243"/>
      <c r="CJ391" s="243"/>
      <c r="CK391" s="243"/>
      <c r="CL391" s="243"/>
      <c r="CM391" s="233"/>
      <c r="CN391" s="233"/>
      <c r="CO391" s="233"/>
      <c r="CP391" s="233"/>
      <c r="CQ391" s="233"/>
      <c r="CR391" s="233"/>
      <c r="CS391" s="233"/>
      <c r="CT391" s="233"/>
      <c r="CU391" s="233"/>
      <c r="CV391" s="233"/>
      <c r="CW391" s="233"/>
      <c r="CX391" s="233"/>
      <c r="CY391" s="233"/>
      <c r="CZ391" s="233"/>
      <c r="DA391" s="233"/>
      <c r="DB391" s="233"/>
      <c r="DC391" s="233"/>
      <c r="DD391" s="233"/>
    </row>
    <row r="392" spans="78:108" x14ac:dyDescent="0.25">
      <c r="BZ392" s="243"/>
      <c r="CG392" s="243"/>
      <c r="CH392" s="243"/>
      <c r="CI392" s="243"/>
      <c r="CJ392" s="243"/>
      <c r="CK392" s="243"/>
      <c r="CL392" s="243"/>
      <c r="CM392" s="233"/>
      <c r="CN392" s="233"/>
      <c r="CO392" s="233"/>
      <c r="CP392" s="233"/>
      <c r="CQ392" s="233"/>
      <c r="CR392" s="233"/>
      <c r="CS392" s="233"/>
      <c r="CT392" s="233"/>
      <c r="CU392" s="233"/>
      <c r="CV392" s="233"/>
      <c r="CW392" s="233"/>
      <c r="CX392" s="233"/>
      <c r="CY392" s="233"/>
      <c r="CZ392" s="233"/>
      <c r="DA392" s="233"/>
      <c r="DB392" s="233"/>
      <c r="DC392" s="233"/>
      <c r="DD392" s="233"/>
    </row>
    <row r="393" spans="78:108" x14ac:dyDescent="0.25">
      <c r="BZ393" s="243"/>
      <c r="CG393" s="243"/>
      <c r="CH393" s="243"/>
      <c r="CI393" s="243"/>
      <c r="CJ393" s="243"/>
      <c r="CK393" s="243"/>
      <c r="CL393" s="243"/>
      <c r="CM393" s="233"/>
      <c r="CN393" s="233"/>
      <c r="CO393" s="233"/>
      <c r="CP393" s="233"/>
      <c r="CQ393" s="233"/>
      <c r="CR393" s="233"/>
      <c r="CS393" s="233"/>
      <c r="CT393" s="233"/>
      <c r="CU393" s="233"/>
      <c r="CV393" s="233"/>
      <c r="CW393" s="233"/>
      <c r="CX393" s="233"/>
      <c r="CY393" s="233"/>
      <c r="CZ393" s="233"/>
      <c r="DA393" s="233"/>
      <c r="DB393" s="233"/>
      <c r="DC393" s="233"/>
      <c r="DD393" s="233"/>
    </row>
    <row r="394" spans="78:108" x14ac:dyDescent="0.25">
      <c r="BZ394" s="243"/>
      <c r="CG394" s="243"/>
      <c r="CH394" s="243"/>
      <c r="CI394" s="243"/>
      <c r="CJ394" s="243"/>
      <c r="CK394" s="243"/>
      <c r="CL394" s="243"/>
      <c r="CM394" s="233"/>
      <c r="CN394" s="233"/>
      <c r="CO394" s="233"/>
      <c r="CP394" s="233"/>
      <c r="CQ394" s="233"/>
      <c r="CR394" s="233"/>
      <c r="CS394" s="233"/>
      <c r="CT394" s="233"/>
      <c r="CU394" s="233"/>
      <c r="CV394" s="233"/>
      <c r="CW394" s="233"/>
      <c r="CX394" s="233"/>
      <c r="CY394" s="233"/>
      <c r="CZ394" s="233"/>
      <c r="DA394" s="233"/>
      <c r="DB394" s="233"/>
      <c r="DC394" s="233"/>
      <c r="DD394" s="233"/>
    </row>
    <row r="395" spans="78:108" x14ac:dyDescent="0.25">
      <c r="BZ395" s="243"/>
      <c r="CG395" s="243"/>
      <c r="CH395" s="243"/>
      <c r="CI395" s="243"/>
      <c r="CJ395" s="243"/>
      <c r="CK395" s="243"/>
      <c r="CL395" s="243"/>
      <c r="CM395" s="233"/>
      <c r="CN395" s="233"/>
      <c r="CO395" s="233"/>
      <c r="CP395" s="233"/>
      <c r="CQ395" s="233"/>
      <c r="CR395" s="233"/>
      <c r="CS395" s="233"/>
      <c r="CT395" s="233"/>
      <c r="CU395" s="233"/>
      <c r="CV395" s="233"/>
      <c r="CW395" s="233"/>
      <c r="CX395" s="233"/>
      <c r="CY395" s="233"/>
      <c r="CZ395" s="233"/>
      <c r="DA395" s="233"/>
      <c r="DB395" s="233"/>
      <c r="DC395" s="233"/>
      <c r="DD395" s="233"/>
    </row>
    <row r="396" spans="78:108" x14ac:dyDescent="0.25">
      <c r="BZ396" s="243"/>
      <c r="CG396" s="243"/>
      <c r="CH396" s="243"/>
      <c r="CI396" s="243"/>
      <c r="CJ396" s="243"/>
      <c r="CK396" s="243"/>
      <c r="CL396" s="243"/>
      <c r="CM396" s="233"/>
      <c r="CN396" s="233"/>
      <c r="CO396" s="233"/>
      <c r="CP396" s="233"/>
      <c r="CQ396" s="233"/>
      <c r="CR396" s="233"/>
      <c r="CS396" s="233"/>
      <c r="CT396" s="233"/>
      <c r="CU396" s="233"/>
      <c r="CV396" s="233"/>
      <c r="CW396" s="233"/>
      <c r="CX396" s="233"/>
      <c r="CY396" s="233"/>
      <c r="CZ396" s="233"/>
      <c r="DA396" s="233"/>
      <c r="DB396" s="233"/>
      <c r="DC396" s="233"/>
      <c r="DD396" s="233"/>
    </row>
    <row r="397" spans="78:108" ht="15" customHeight="1" x14ac:dyDescent="0.25">
      <c r="BZ397" s="243"/>
      <c r="CG397" s="243"/>
      <c r="CH397" s="243"/>
      <c r="CI397" s="243"/>
      <c r="CJ397" s="243"/>
      <c r="CK397" s="243"/>
      <c r="CL397" s="243"/>
      <c r="CM397" s="233"/>
      <c r="CN397" s="233"/>
      <c r="CO397" s="233"/>
      <c r="CP397" s="233"/>
      <c r="CQ397" s="233"/>
      <c r="CR397" s="233"/>
      <c r="CS397" s="233"/>
      <c r="CT397" s="233"/>
      <c r="CU397" s="233"/>
      <c r="CV397" s="233"/>
      <c r="CW397" s="233"/>
      <c r="CX397" s="233"/>
      <c r="CY397" s="233"/>
      <c r="CZ397" s="233"/>
      <c r="DA397" s="233"/>
      <c r="DB397" s="233"/>
      <c r="DC397" s="233"/>
      <c r="DD397" s="233"/>
    </row>
    <row r="398" spans="78:108" ht="15" customHeight="1" x14ac:dyDescent="0.25">
      <c r="BZ398" s="243"/>
      <c r="CG398" s="243"/>
      <c r="CH398" s="243"/>
      <c r="CI398" s="243"/>
      <c r="CJ398" s="243"/>
      <c r="CK398" s="243"/>
      <c r="CL398" s="243"/>
      <c r="CM398" s="233"/>
      <c r="CN398" s="233"/>
      <c r="CO398" s="233"/>
      <c r="CP398" s="233"/>
      <c r="CQ398" s="233"/>
      <c r="CR398" s="233"/>
      <c r="CS398" s="233"/>
      <c r="CT398" s="233"/>
      <c r="CU398" s="233"/>
      <c r="CV398" s="233"/>
      <c r="CW398" s="233"/>
      <c r="CX398" s="233"/>
      <c r="CY398" s="233"/>
      <c r="CZ398" s="233"/>
      <c r="DA398" s="233"/>
      <c r="DB398" s="233"/>
      <c r="DC398" s="233"/>
      <c r="DD398" s="233"/>
    </row>
    <row r="399" spans="78:108" x14ac:dyDescent="0.25">
      <c r="BZ399" s="243"/>
      <c r="CG399" s="243"/>
      <c r="CH399" s="243"/>
      <c r="CI399" s="243"/>
      <c r="CJ399" s="243"/>
      <c r="CK399" s="243"/>
      <c r="CL399" s="243"/>
      <c r="CM399" s="233"/>
      <c r="CN399" s="233"/>
      <c r="CO399" s="233"/>
      <c r="CP399" s="233"/>
      <c r="CQ399" s="233"/>
      <c r="CR399" s="233"/>
      <c r="CS399" s="233"/>
      <c r="CT399" s="233"/>
      <c r="CU399" s="233"/>
      <c r="CV399" s="233"/>
      <c r="CW399" s="233"/>
      <c r="CX399" s="233"/>
      <c r="CY399" s="233"/>
      <c r="CZ399" s="233"/>
      <c r="DA399" s="233"/>
      <c r="DB399" s="233"/>
      <c r="DC399" s="233"/>
      <c r="DD399" s="233"/>
    </row>
    <row r="400" spans="78:108" x14ac:dyDescent="0.25">
      <c r="BZ400" s="243"/>
      <c r="CG400" s="243"/>
      <c r="CH400" s="243"/>
      <c r="CI400" s="243"/>
      <c r="CJ400" s="243"/>
      <c r="CK400" s="243"/>
      <c r="CL400" s="243"/>
      <c r="CM400" s="233"/>
      <c r="CN400" s="233"/>
      <c r="CO400" s="233"/>
      <c r="CP400" s="233"/>
      <c r="CQ400" s="233"/>
      <c r="CR400" s="233"/>
      <c r="CS400" s="233"/>
      <c r="CT400" s="233"/>
      <c r="CU400" s="233"/>
      <c r="CV400" s="233"/>
      <c r="CW400" s="233"/>
      <c r="CX400" s="233"/>
      <c r="CY400" s="233"/>
      <c r="CZ400" s="233"/>
      <c r="DA400" s="233"/>
      <c r="DB400" s="233"/>
      <c r="DC400" s="233"/>
      <c r="DD400" s="233"/>
    </row>
    <row r="401" spans="43:108" x14ac:dyDescent="0.25">
      <c r="BZ401" s="243"/>
      <c r="CG401" s="243"/>
      <c r="CH401" s="243"/>
      <c r="CI401" s="243"/>
      <c r="CJ401" s="243"/>
      <c r="CK401" s="243"/>
      <c r="CL401" s="243"/>
      <c r="CM401" s="233"/>
      <c r="CN401" s="233"/>
      <c r="CO401" s="233"/>
      <c r="CP401" s="233"/>
      <c r="CQ401" s="233"/>
      <c r="CR401" s="233"/>
      <c r="CS401" s="233"/>
      <c r="CT401" s="233"/>
      <c r="CU401" s="233"/>
      <c r="CV401" s="233"/>
      <c r="CW401" s="233"/>
      <c r="CX401" s="233"/>
      <c r="CY401" s="233"/>
      <c r="CZ401" s="233"/>
      <c r="DA401" s="233"/>
      <c r="DB401" s="233"/>
      <c r="DC401" s="233"/>
      <c r="DD401" s="233"/>
    </row>
    <row r="402" spans="43:108" x14ac:dyDescent="0.25">
      <c r="BZ402" s="243"/>
      <c r="CG402" s="243"/>
      <c r="CH402" s="243"/>
      <c r="CI402" s="243"/>
      <c r="CJ402" s="243"/>
      <c r="CK402" s="243"/>
      <c r="CL402" s="243"/>
      <c r="CM402" s="233"/>
      <c r="CN402" s="233"/>
      <c r="CO402" s="233"/>
      <c r="CP402" s="233"/>
      <c r="CQ402" s="233"/>
      <c r="CR402" s="233"/>
      <c r="CS402" s="233"/>
      <c r="CT402" s="233"/>
      <c r="CU402" s="233"/>
      <c r="CV402" s="233"/>
      <c r="CW402" s="233"/>
      <c r="CX402" s="233"/>
      <c r="CY402" s="233"/>
      <c r="CZ402" s="233"/>
      <c r="DA402" s="233"/>
      <c r="DB402" s="233"/>
      <c r="DC402" s="233"/>
      <c r="DD402" s="233"/>
    </row>
    <row r="403" spans="43:108" x14ac:dyDescent="0.25">
      <c r="BZ403" s="243"/>
      <c r="CG403" s="243"/>
      <c r="CH403" s="243"/>
      <c r="CI403" s="243"/>
      <c r="CJ403" s="243"/>
      <c r="CK403" s="243"/>
      <c r="CL403" s="243"/>
      <c r="CM403" s="233"/>
      <c r="CN403" s="233"/>
      <c r="CO403" s="233"/>
      <c r="CP403" s="233"/>
      <c r="CQ403" s="233"/>
      <c r="CR403" s="233"/>
      <c r="CS403" s="233"/>
      <c r="CT403" s="233"/>
      <c r="CU403" s="233"/>
      <c r="CV403" s="233"/>
      <c r="CW403" s="233"/>
      <c r="CX403" s="233"/>
      <c r="CY403" s="233"/>
      <c r="CZ403" s="233"/>
      <c r="DA403" s="233"/>
      <c r="DB403" s="233"/>
      <c r="DC403" s="233"/>
      <c r="DD403" s="233"/>
    </row>
    <row r="404" spans="43:108" x14ac:dyDescent="0.25">
      <c r="BZ404" s="243"/>
      <c r="CG404" s="243"/>
      <c r="CH404" s="243"/>
      <c r="CI404" s="243"/>
      <c r="CJ404" s="243"/>
      <c r="CK404" s="243"/>
      <c r="CL404" s="243"/>
      <c r="CM404" s="233"/>
      <c r="CN404" s="233"/>
      <c r="CO404" s="233"/>
      <c r="CP404" s="233"/>
      <c r="CQ404" s="233"/>
      <c r="CR404" s="233"/>
      <c r="CS404" s="233"/>
      <c r="CT404" s="233"/>
      <c r="CU404" s="233"/>
      <c r="CV404" s="233"/>
      <c r="CW404" s="233"/>
      <c r="CX404" s="233"/>
      <c r="CY404" s="233"/>
      <c r="CZ404" s="233"/>
      <c r="DA404" s="233"/>
      <c r="DB404" s="233"/>
      <c r="DC404" s="233"/>
      <c r="DD404" s="233"/>
    </row>
    <row r="405" spans="43:108" x14ac:dyDescent="0.25">
      <c r="BZ405" s="243"/>
      <c r="CG405" s="243"/>
      <c r="CH405" s="243"/>
      <c r="CI405" s="243"/>
      <c r="CJ405" s="243"/>
      <c r="CK405" s="243"/>
      <c r="CL405" s="243"/>
      <c r="CM405" s="233"/>
      <c r="CN405" s="233"/>
      <c r="CO405" s="233"/>
      <c r="CP405" s="233"/>
      <c r="CQ405" s="233"/>
      <c r="CR405" s="233"/>
      <c r="CS405" s="233"/>
      <c r="CT405" s="233"/>
      <c r="CU405" s="233"/>
      <c r="CV405" s="233"/>
      <c r="CW405" s="233"/>
      <c r="CX405" s="233"/>
      <c r="CY405" s="233"/>
      <c r="CZ405" s="233"/>
      <c r="DA405" s="233"/>
      <c r="DB405" s="233"/>
      <c r="DC405" s="233"/>
      <c r="DD405" s="233"/>
    </row>
    <row r="406" spans="43:108" x14ac:dyDescent="0.25">
      <c r="BZ406" s="243"/>
      <c r="CG406" s="243"/>
      <c r="CH406" s="243"/>
      <c r="CI406" s="243"/>
      <c r="CJ406" s="243"/>
      <c r="CK406" s="243"/>
      <c r="CL406" s="243"/>
      <c r="CM406" s="233"/>
      <c r="CN406" s="233"/>
      <c r="CO406" s="233"/>
      <c r="CP406" s="233"/>
      <c r="CQ406" s="233"/>
      <c r="CR406" s="233"/>
      <c r="CS406" s="233"/>
      <c r="CT406" s="233"/>
      <c r="CU406" s="233"/>
      <c r="CV406" s="233"/>
      <c r="CW406" s="233"/>
      <c r="CX406" s="233"/>
      <c r="CY406" s="233"/>
      <c r="CZ406" s="233"/>
      <c r="DA406" s="233"/>
      <c r="DB406" s="233"/>
      <c r="DC406" s="233"/>
      <c r="DD406" s="233"/>
    </row>
    <row r="407" spans="43:108" x14ac:dyDescent="0.25">
      <c r="BZ407" s="243"/>
      <c r="CG407" s="243"/>
      <c r="CH407" s="243"/>
      <c r="CI407" s="243"/>
      <c r="CJ407" s="243"/>
      <c r="CK407" s="243"/>
      <c r="CL407" s="243"/>
      <c r="CM407" s="233"/>
      <c r="CN407" s="233"/>
      <c r="CO407" s="233"/>
      <c r="CP407" s="233"/>
      <c r="CQ407" s="233"/>
      <c r="CR407" s="233"/>
      <c r="CS407" s="233"/>
      <c r="CT407" s="233"/>
      <c r="CU407" s="233"/>
      <c r="CV407" s="233"/>
      <c r="CW407" s="233"/>
      <c r="CX407" s="233"/>
      <c r="CY407" s="233"/>
      <c r="CZ407" s="233"/>
      <c r="DA407" s="233"/>
      <c r="DB407" s="233"/>
      <c r="DC407" s="233"/>
      <c r="DD407" s="233"/>
    </row>
    <row r="408" spans="43:108" x14ac:dyDescent="0.25">
      <c r="BZ408" s="243"/>
      <c r="CG408" s="243"/>
      <c r="CH408" s="243"/>
      <c r="CI408" s="243"/>
      <c r="CJ408" s="243"/>
      <c r="CK408" s="243"/>
      <c r="CL408" s="243"/>
      <c r="CM408" s="233"/>
      <c r="CN408" s="233"/>
      <c r="CO408" s="233"/>
      <c r="CP408" s="233"/>
      <c r="CQ408" s="233"/>
      <c r="CR408" s="233"/>
      <c r="CS408" s="233"/>
      <c r="CT408" s="233"/>
      <c r="CU408" s="233"/>
      <c r="CV408" s="233"/>
      <c r="CW408" s="233"/>
      <c r="CX408" s="233"/>
      <c r="CY408" s="233"/>
      <c r="CZ408" s="233"/>
      <c r="DA408" s="233"/>
      <c r="DB408" s="233"/>
      <c r="DC408" s="233"/>
      <c r="DD408" s="233"/>
    </row>
    <row r="409" spans="43:108" ht="15" customHeight="1" x14ac:dyDescent="0.25">
      <c r="BZ409" s="243"/>
      <c r="CG409" s="243"/>
      <c r="CH409" s="243"/>
      <c r="CI409" s="243"/>
      <c r="CJ409" s="243"/>
      <c r="CK409" s="243"/>
      <c r="CL409" s="243"/>
      <c r="CM409" s="233"/>
      <c r="CN409" s="233"/>
      <c r="CO409" s="233"/>
      <c r="CP409" s="233"/>
      <c r="CQ409" s="233"/>
      <c r="CR409" s="233"/>
      <c r="CS409" s="233"/>
      <c r="CT409" s="233"/>
      <c r="CU409" s="233"/>
      <c r="CV409" s="233"/>
      <c r="CW409" s="233"/>
      <c r="CX409" s="233"/>
      <c r="CY409" s="233"/>
      <c r="CZ409" s="233"/>
      <c r="DA409" s="233"/>
      <c r="DB409" s="233"/>
      <c r="DC409" s="233"/>
      <c r="DD409" s="233"/>
    </row>
    <row r="410" spans="43:108" ht="15" customHeight="1" x14ac:dyDescent="0.25">
      <c r="AQ410" s="233"/>
      <c r="AR410" s="233"/>
      <c r="AS410" s="233"/>
      <c r="AT410" s="233"/>
      <c r="AU410" s="233"/>
      <c r="AV410" s="233"/>
      <c r="AW410" s="233"/>
      <c r="AX410" s="233"/>
      <c r="AY410" s="233"/>
      <c r="AZ410" s="233"/>
      <c r="BA410" s="233"/>
      <c r="BB410" s="233"/>
      <c r="BC410" s="233"/>
      <c r="BD410" s="233"/>
      <c r="BE410" s="233"/>
      <c r="BF410" s="233"/>
      <c r="BG410" s="233"/>
      <c r="BH410" s="233"/>
      <c r="BI410" s="233"/>
      <c r="BJ410" s="233"/>
      <c r="BK410" s="233"/>
      <c r="BL410" s="233"/>
      <c r="BM410" s="233"/>
      <c r="BN410" s="233"/>
      <c r="BO410" s="233"/>
      <c r="BP410" s="233"/>
      <c r="BQ410" s="233"/>
      <c r="BR410" s="233"/>
      <c r="BS410" s="233"/>
      <c r="BT410" s="233"/>
      <c r="BU410" s="233"/>
      <c r="BV410" s="233"/>
      <c r="BW410" s="233"/>
      <c r="BX410" s="233"/>
      <c r="BY410" s="233"/>
      <c r="BZ410" s="233"/>
      <c r="CA410" s="233"/>
      <c r="CG410" s="243"/>
      <c r="CH410" s="243"/>
      <c r="CI410" s="243"/>
      <c r="CJ410" s="243"/>
      <c r="CK410" s="243"/>
      <c r="CL410" s="243"/>
      <c r="CM410" s="233"/>
      <c r="CN410" s="233"/>
      <c r="CO410" s="233"/>
      <c r="CP410" s="233"/>
      <c r="CQ410" s="233"/>
      <c r="CR410" s="233"/>
      <c r="CS410" s="233"/>
      <c r="CT410" s="233"/>
      <c r="CU410" s="233"/>
      <c r="CV410" s="233"/>
      <c r="CW410" s="233"/>
      <c r="CX410" s="233"/>
      <c r="CY410" s="233"/>
      <c r="CZ410" s="233"/>
      <c r="DA410" s="233"/>
      <c r="DB410" s="233"/>
      <c r="DC410" s="233"/>
      <c r="DD410" s="233"/>
    </row>
    <row r="411" spans="43:108" x14ac:dyDescent="0.25">
      <c r="AQ411" s="233"/>
      <c r="AR411" s="233"/>
      <c r="AS411" s="233"/>
      <c r="AT411" s="233"/>
      <c r="AU411" s="233"/>
      <c r="AV411" s="233"/>
      <c r="AW411" s="233"/>
      <c r="AX411" s="233"/>
      <c r="AY411" s="233"/>
      <c r="AZ411" s="233"/>
      <c r="BA411" s="233"/>
      <c r="BB411" s="233"/>
      <c r="BC411" s="233"/>
      <c r="BD411" s="233"/>
      <c r="BE411" s="233"/>
      <c r="BF411" s="233"/>
      <c r="BG411" s="233"/>
      <c r="BH411" s="233"/>
      <c r="BI411" s="233"/>
      <c r="BJ411" s="233"/>
      <c r="BK411" s="233"/>
      <c r="BL411" s="233"/>
      <c r="BM411" s="233"/>
      <c r="BN411" s="233"/>
      <c r="BO411" s="233"/>
      <c r="BP411" s="233"/>
      <c r="BQ411" s="233"/>
      <c r="BR411" s="233"/>
      <c r="BS411" s="233"/>
      <c r="BT411" s="233"/>
      <c r="BU411" s="233"/>
      <c r="BV411" s="233"/>
      <c r="BW411" s="233"/>
      <c r="BX411" s="233"/>
      <c r="BY411" s="233"/>
      <c r="BZ411" s="233"/>
      <c r="CA411" s="233"/>
      <c r="CG411" s="243"/>
      <c r="CH411" s="243"/>
      <c r="CI411" s="243"/>
      <c r="CJ411" s="243"/>
      <c r="CK411" s="243"/>
      <c r="CL411" s="243"/>
      <c r="CM411" s="233"/>
      <c r="CN411" s="233"/>
      <c r="CO411" s="233"/>
      <c r="CP411" s="233"/>
      <c r="CQ411" s="233"/>
      <c r="CR411" s="233"/>
      <c r="CS411" s="233"/>
      <c r="CT411" s="233"/>
      <c r="CU411" s="233"/>
      <c r="CV411" s="233"/>
      <c r="CW411" s="233"/>
      <c r="CX411" s="233"/>
      <c r="CY411" s="233"/>
      <c r="CZ411" s="233"/>
      <c r="DA411" s="233"/>
      <c r="DB411" s="233"/>
      <c r="DC411" s="233"/>
      <c r="DD411" s="233"/>
    </row>
    <row r="412" spans="43:108" x14ac:dyDescent="0.25">
      <c r="AQ412" s="233"/>
      <c r="AR412" s="233"/>
      <c r="AS412" s="233"/>
      <c r="AT412" s="233"/>
      <c r="AU412" s="233"/>
      <c r="AV412" s="233"/>
      <c r="AW412" s="233"/>
      <c r="AX412" s="233"/>
      <c r="AY412" s="233"/>
      <c r="AZ412" s="233"/>
      <c r="BA412" s="233"/>
      <c r="BB412" s="233"/>
      <c r="BC412" s="233"/>
      <c r="BD412" s="233"/>
      <c r="BE412" s="233"/>
      <c r="BF412" s="233"/>
      <c r="BG412" s="233"/>
      <c r="BH412" s="233"/>
      <c r="BI412" s="233"/>
      <c r="BJ412" s="233"/>
      <c r="BK412" s="233"/>
      <c r="BL412" s="233"/>
      <c r="BM412" s="233"/>
      <c r="BN412" s="233"/>
      <c r="BO412" s="233"/>
      <c r="BP412" s="233"/>
      <c r="BQ412" s="233"/>
      <c r="BR412" s="233"/>
      <c r="BS412" s="233"/>
      <c r="BT412" s="233"/>
      <c r="BU412" s="233"/>
      <c r="BV412" s="233"/>
      <c r="BW412" s="233"/>
      <c r="BX412" s="233"/>
      <c r="BY412" s="233"/>
      <c r="BZ412" s="233"/>
      <c r="CA412" s="233"/>
      <c r="CG412" s="243"/>
      <c r="CH412" s="243"/>
      <c r="CI412" s="243"/>
      <c r="CJ412" s="243"/>
      <c r="CK412" s="243"/>
      <c r="CL412" s="243"/>
      <c r="CM412" s="233"/>
      <c r="CN412" s="233"/>
      <c r="CO412" s="233"/>
      <c r="CP412" s="233"/>
      <c r="CQ412" s="233"/>
      <c r="CR412" s="233"/>
      <c r="CS412" s="233"/>
      <c r="CT412" s="233"/>
      <c r="CU412" s="233"/>
      <c r="CV412" s="233"/>
      <c r="CW412" s="233"/>
      <c r="CX412" s="233"/>
      <c r="CY412" s="233"/>
      <c r="CZ412" s="233"/>
      <c r="DA412" s="233"/>
      <c r="DB412" s="233"/>
      <c r="DC412" s="233"/>
      <c r="DD412" s="233"/>
    </row>
    <row r="413" spans="43:108" x14ac:dyDescent="0.25">
      <c r="AQ413" s="233"/>
      <c r="AR413" s="233"/>
      <c r="AS413" s="233"/>
      <c r="AT413" s="233"/>
      <c r="AU413" s="233"/>
      <c r="AV413" s="233"/>
      <c r="AW413" s="233"/>
      <c r="AX413" s="233"/>
      <c r="AY413" s="233"/>
      <c r="AZ413" s="233"/>
      <c r="BA413" s="233"/>
      <c r="BB413" s="233"/>
      <c r="BC413" s="233"/>
      <c r="BD413" s="233"/>
      <c r="BE413" s="233"/>
      <c r="BF413" s="233"/>
      <c r="BG413" s="233"/>
      <c r="BH413" s="233"/>
      <c r="BI413" s="233"/>
      <c r="BJ413" s="233"/>
      <c r="BK413" s="233"/>
      <c r="BL413" s="233"/>
      <c r="BM413" s="233"/>
      <c r="BN413" s="233"/>
      <c r="BO413" s="233"/>
      <c r="BP413" s="233"/>
      <c r="BQ413" s="233"/>
      <c r="BR413" s="233"/>
      <c r="BS413" s="233"/>
      <c r="BT413" s="233"/>
      <c r="BU413" s="233"/>
      <c r="BV413" s="233"/>
      <c r="BW413" s="233"/>
      <c r="BX413" s="233"/>
      <c r="BY413" s="233"/>
      <c r="BZ413" s="233"/>
      <c r="CA413" s="233"/>
      <c r="CG413" s="243"/>
      <c r="CH413" s="243"/>
      <c r="CI413" s="243"/>
      <c r="CJ413" s="243"/>
      <c r="CK413" s="243"/>
      <c r="CL413" s="243"/>
      <c r="CM413" s="233"/>
      <c r="CN413" s="233"/>
      <c r="CO413" s="233"/>
      <c r="CP413" s="233"/>
      <c r="CQ413" s="233"/>
      <c r="CR413" s="233"/>
      <c r="CS413" s="233"/>
      <c r="CT413" s="233"/>
      <c r="CU413" s="233"/>
      <c r="CV413" s="233"/>
      <c r="CW413" s="233"/>
      <c r="CX413" s="233"/>
      <c r="CY413" s="233"/>
      <c r="CZ413" s="233"/>
      <c r="DA413" s="233"/>
      <c r="DB413" s="233"/>
      <c r="DC413" s="233"/>
      <c r="DD413" s="233"/>
    </row>
    <row r="414" spans="43:108" x14ac:dyDescent="0.25">
      <c r="AQ414" s="233"/>
      <c r="AR414" s="233"/>
      <c r="AS414" s="233"/>
      <c r="AT414" s="233"/>
      <c r="AU414" s="233"/>
      <c r="AV414" s="233"/>
      <c r="AW414" s="233"/>
      <c r="AX414" s="233"/>
      <c r="AY414" s="233"/>
      <c r="AZ414" s="233"/>
      <c r="BA414" s="233"/>
      <c r="BB414" s="233"/>
      <c r="BC414" s="233"/>
      <c r="BD414" s="233"/>
      <c r="BE414" s="233"/>
      <c r="BF414" s="233"/>
      <c r="BG414" s="233"/>
      <c r="BH414" s="233"/>
      <c r="BI414" s="233"/>
      <c r="BJ414" s="233"/>
      <c r="BK414" s="233"/>
      <c r="BL414" s="233"/>
      <c r="BM414" s="233"/>
      <c r="BN414" s="233"/>
      <c r="BO414" s="233"/>
      <c r="BP414" s="233"/>
      <c r="BQ414" s="233"/>
      <c r="BR414" s="233"/>
      <c r="BS414" s="233"/>
      <c r="BT414" s="233"/>
      <c r="BU414" s="233"/>
      <c r="BV414" s="233"/>
      <c r="BW414" s="233"/>
      <c r="BX414" s="233"/>
      <c r="BY414" s="233"/>
      <c r="BZ414" s="233"/>
      <c r="CA414" s="233"/>
      <c r="CG414" s="243"/>
      <c r="CH414" s="243"/>
      <c r="CI414" s="243"/>
      <c r="CJ414" s="243"/>
      <c r="CK414" s="243"/>
      <c r="CL414" s="243"/>
      <c r="CM414" s="233"/>
      <c r="CN414" s="233"/>
      <c r="CO414" s="233"/>
      <c r="CP414" s="233"/>
      <c r="CQ414" s="233"/>
      <c r="CR414" s="233"/>
      <c r="CS414" s="233"/>
      <c r="CT414" s="233"/>
      <c r="CU414" s="233"/>
      <c r="CV414" s="233"/>
      <c r="CW414" s="233"/>
      <c r="CX414" s="233"/>
      <c r="CY414" s="233"/>
      <c r="CZ414" s="233"/>
      <c r="DA414" s="233"/>
      <c r="DB414" s="233"/>
      <c r="DC414" s="233"/>
      <c r="DD414" s="233"/>
    </row>
    <row r="415" spans="43:108" x14ac:dyDescent="0.25">
      <c r="AQ415" s="233"/>
      <c r="AR415" s="233"/>
      <c r="AS415" s="233"/>
      <c r="AT415" s="233"/>
      <c r="AU415" s="233"/>
      <c r="AV415" s="233"/>
      <c r="AW415" s="233"/>
      <c r="AX415" s="233"/>
      <c r="AY415" s="233"/>
      <c r="AZ415" s="233"/>
      <c r="BA415" s="233"/>
      <c r="BB415" s="233"/>
      <c r="BC415" s="233"/>
      <c r="BD415" s="233"/>
      <c r="BE415" s="233"/>
      <c r="BF415" s="233"/>
      <c r="BG415" s="233"/>
      <c r="BH415" s="233"/>
      <c r="BI415" s="233"/>
      <c r="BJ415" s="233"/>
      <c r="BK415" s="233"/>
      <c r="BL415" s="233"/>
      <c r="BM415" s="233"/>
      <c r="BN415" s="233"/>
      <c r="BO415" s="233"/>
      <c r="BP415" s="233"/>
      <c r="BQ415" s="233"/>
      <c r="BR415" s="233"/>
      <c r="BS415" s="233"/>
      <c r="BT415" s="233"/>
      <c r="BU415" s="233"/>
      <c r="BV415" s="233"/>
      <c r="BW415" s="233"/>
      <c r="BX415" s="233"/>
      <c r="BY415" s="233"/>
      <c r="BZ415" s="233"/>
      <c r="CA415" s="233"/>
      <c r="CG415" s="243"/>
      <c r="CH415" s="243"/>
      <c r="CI415" s="243"/>
      <c r="CJ415" s="243"/>
      <c r="CK415" s="243"/>
      <c r="CL415" s="243"/>
      <c r="CM415" s="233"/>
      <c r="CN415" s="233"/>
      <c r="CO415" s="233"/>
      <c r="CP415" s="233"/>
      <c r="CQ415" s="233"/>
      <c r="CR415" s="233"/>
      <c r="CS415" s="233"/>
      <c r="CT415" s="233"/>
      <c r="CU415" s="233"/>
      <c r="CV415" s="233"/>
      <c r="CW415" s="233"/>
      <c r="CX415" s="233"/>
      <c r="CY415" s="233"/>
      <c r="CZ415" s="233"/>
      <c r="DA415" s="233"/>
      <c r="DB415" s="233"/>
      <c r="DC415" s="233"/>
      <c r="DD415" s="233"/>
    </row>
    <row r="416" spans="43:108" x14ac:dyDescent="0.25">
      <c r="AQ416" s="233"/>
      <c r="AR416" s="233"/>
      <c r="AS416" s="233"/>
      <c r="AT416" s="233"/>
      <c r="AU416" s="233"/>
      <c r="AV416" s="233"/>
      <c r="AW416" s="233"/>
      <c r="AX416" s="233"/>
      <c r="AY416" s="233"/>
      <c r="AZ416" s="233"/>
      <c r="BA416" s="233"/>
      <c r="BB416" s="233"/>
      <c r="BC416" s="233"/>
      <c r="BD416" s="233"/>
      <c r="BE416" s="233"/>
      <c r="BF416" s="233"/>
      <c r="BG416" s="233"/>
      <c r="BH416" s="233"/>
      <c r="BI416" s="233"/>
      <c r="BJ416" s="233"/>
      <c r="BK416" s="233"/>
      <c r="BL416" s="233"/>
      <c r="BM416" s="233"/>
      <c r="BN416" s="233"/>
      <c r="BO416" s="233"/>
      <c r="BP416" s="233"/>
      <c r="BQ416" s="233"/>
      <c r="BR416" s="233"/>
      <c r="BS416" s="233"/>
      <c r="BT416" s="233"/>
      <c r="BU416" s="233"/>
      <c r="BV416" s="233"/>
      <c r="BW416" s="233"/>
      <c r="BX416" s="233"/>
      <c r="BY416" s="233"/>
      <c r="BZ416" s="233"/>
      <c r="CA416" s="233"/>
      <c r="CG416" s="243"/>
      <c r="CH416" s="243"/>
      <c r="CI416" s="243"/>
      <c r="CJ416" s="243"/>
      <c r="CK416" s="243"/>
      <c r="CL416" s="243"/>
      <c r="CM416" s="233"/>
      <c r="CN416" s="233"/>
      <c r="CO416" s="233"/>
      <c r="CP416" s="233"/>
      <c r="CQ416" s="233"/>
      <c r="CR416" s="233"/>
      <c r="CS416" s="233"/>
      <c r="CT416" s="233"/>
      <c r="CU416" s="233"/>
      <c r="CV416" s="233"/>
      <c r="CW416" s="233"/>
      <c r="CX416" s="233"/>
      <c r="CY416" s="233"/>
      <c r="CZ416" s="233"/>
      <c r="DA416" s="233"/>
      <c r="DB416" s="233"/>
      <c r="DC416" s="233"/>
      <c r="DD416" s="233"/>
    </row>
    <row r="417" spans="43:108" x14ac:dyDescent="0.25">
      <c r="AQ417" s="233"/>
      <c r="AR417" s="233"/>
      <c r="AS417" s="233"/>
      <c r="AT417" s="233"/>
      <c r="AU417" s="233"/>
      <c r="AV417" s="233"/>
      <c r="AW417" s="233"/>
      <c r="AX417" s="233"/>
      <c r="AY417" s="233"/>
      <c r="AZ417" s="233"/>
      <c r="BA417" s="233"/>
      <c r="BB417" s="233"/>
      <c r="BC417" s="233"/>
      <c r="BD417" s="233"/>
      <c r="BE417" s="233"/>
      <c r="BF417" s="233"/>
      <c r="BG417" s="233"/>
      <c r="BH417" s="233"/>
      <c r="BI417" s="233"/>
      <c r="BJ417" s="233"/>
      <c r="BK417" s="233"/>
      <c r="BL417" s="233"/>
      <c r="BM417" s="233"/>
      <c r="BN417" s="233"/>
      <c r="BO417" s="233"/>
      <c r="BP417" s="233"/>
      <c r="BQ417" s="233"/>
      <c r="BR417" s="233"/>
      <c r="BS417" s="233"/>
      <c r="BT417" s="233"/>
      <c r="BU417" s="233"/>
      <c r="BV417" s="233"/>
      <c r="BW417" s="233"/>
      <c r="BX417" s="233"/>
      <c r="BY417" s="233"/>
      <c r="BZ417" s="233"/>
      <c r="CA417" s="233"/>
      <c r="CG417" s="243"/>
      <c r="CH417" s="243"/>
      <c r="CI417" s="243"/>
      <c r="CJ417" s="243"/>
      <c r="CK417" s="243"/>
      <c r="CL417" s="243"/>
      <c r="CM417" s="233"/>
      <c r="CN417" s="233"/>
      <c r="CO417" s="233"/>
      <c r="CP417" s="233"/>
      <c r="CQ417" s="233"/>
      <c r="CR417" s="233"/>
      <c r="CS417" s="233"/>
      <c r="CT417" s="233"/>
      <c r="CU417" s="233"/>
      <c r="CV417" s="233"/>
      <c r="CW417" s="233"/>
      <c r="CX417" s="233"/>
      <c r="CY417" s="233"/>
      <c r="CZ417" s="233"/>
      <c r="DA417" s="233"/>
      <c r="DB417" s="233"/>
      <c r="DC417" s="233"/>
      <c r="DD417" s="233"/>
    </row>
    <row r="418" spans="43:108" x14ac:dyDescent="0.25">
      <c r="AQ418" s="233"/>
      <c r="AR418" s="233"/>
      <c r="AS418" s="233"/>
      <c r="AT418" s="233"/>
      <c r="AU418" s="233"/>
      <c r="AV418" s="233"/>
      <c r="AW418" s="233"/>
      <c r="AX418" s="233"/>
      <c r="AY418" s="233"/>
      <c r="AZ418" s="233"/>
      <c r="BA418" s="233"/>
      <c r="BB418" s="233"/>
      <c r="BC418" s="233"/>
      <c r="BD418" s="233"/>
      <c r="BE418" s="233"/>
      <c r="BF418" s="233"/>
      <c r="BG418" s="233"/>
      <c r="BH418" s="233"/>
      <c r="BI418" s="233"/>
      <c r="BJ418" s="233"/>
      <c r="BK418" s="233"/>
      <c r="BL418" s="233"/>
      <c r="BM418" s="233"/>
      <c r="BN418" s="233"/>
      <c r="BO418" s="233"/>
      <c r="BP418" s="233"/>
      <c r="BQ418" s="233"/>
      <c r="BR418" s="233"/>
      <c r="BS418" s="233"/>
      <c r="BT418" s="233"/>
      <c r="BU418" s="233"/>
      <c r="BV418" s="233"/>
      <c r="BW418" s="233"/>
      <c r="BX418" s="233"/>
      <c r="BY418" s="233"/>
      <c r="BZ418" s="233"/>
      <c r="CA418" s="233"/>
      <c r="CG418" s="243"/>
      <c r="CH418" s="243"/>
      <c r="CI418" s="243"/>
      <c r="CJ418" s="243"/>
      <c r="CK418" s="243"/>
      <c r="CL418" s="243"/>
      <c r="CM418" s="233"/>
      <c r="CN418" s="233"/>
      <c r="CO418" s="233"/>
      <c r="CP418" s="233"/>
      <c r="CQ418" s="233"/>
      <c r="CR418" s="233"/>
      <c r="CS418" s="233"/>
      <c r="CT418" s="233"/>
      <c r="CU418" s="233"/>
      <c r="CV418" s="233"/>
      <c r="CW418" s="233"/>
      <c r="CX418" s="233"/>
      <c r="CY418" s="233"/>
      <c r="CZ418" s="233"/>
      <c r="DA418" s="233"/>
      <c r="DB418" s="233"/>
      <c r="DC418" s="233"/>
      <c r="DD418" s="233"/>
    </row>
    <row r="419" spans="43:108" x14ac:dyDescent="0.25">
      <c r="AQ419" s="233"/>
      <c r="AR419" s="233"/>
      <c r="AS419" s="233"/>
      <c r="AT419" s="233"/>
      <c r="AU419" s="233"/>
      <c r="AV419" s="233"/>
      <c r="AW419" s="233"/>
      <c r="AX419" s="233"/>
      <c r="AY419" s="233"/>
      <c r="AZ419" s="233"/>
      <c r="BA419" s="233"/>
      <c r="BB419" s="233"/>
      <c r="BC419" s="233"/>
      <c r="BD419" s="233"/>
      <c r="BE419" s="233"/>
      <c r="BF419" s="233"/>
      <c r="BG419" s="233"/>
      <c r="BH419" s="233"/>
      <c r="BI419" s="233"/>
      <c r="BJ419" s="233"/>
      <c r="BK419" s="233"/>
      <c r="BL419" s="233"/>
      <c r="BM419" s="233"/>
      <c r="BN419" s="233"/>
      <c r="BO419" s="233"/>
      <c r="BP419" s="233"/>
      <c r="BQ419" s="233"/>
      <c r="BR419" s="233"/>
      <c r="BS419" s="233"/>
      <c r="BT419" s="233"/>
      <c r="BU419" s="233"/>
      <c r="BV419" s="233"/>
      <c r="BW419" s="233"/>
      <c r="BX419" s="233"/>
      <c r="BY419" s="233"/>
      <c r="BZ419" s="233"/>
      <c r="CA419" s="233"/>
      <c r="CG419" s="243"/>
      <c r="CH419" s="243"/>
      <c r="CI419" s="243"/>
      <c r="CJ419" s="243"/>
      <c r="CK419" s="243"/>
      <c r="CL419" s="243"/>
      <c r="CM419" s="233"/>
      <c r="CN419" s="233"/>
      <c r="CO419" s="233"/>
      <c r="CP419" s="233"/>
      <c r="CQ419" s="233"/>
      <c r="CR419" s="233"/>
      <c r="CS419" s="233"/>
      <c r="CT419" s="233"/>
      <c r="CU419" s="233"/>
      <c r="CV419" s="233"/>
      <c r="CW419" s="233"/>
      <c r="CX419" s="233"/>
      <c r="CY419" s="233"/>
      <c r="CZ419" s="233"/>
      <c r="DA419" s="233"/>
      <c r="DB419" s="233"/>
      <c r="DC419" s="233"/>
      <c r="DD419" s="233"/>
    </row>
    <row r="420" spans="43:108" x14ac:dyDescent="0.25">
      <c r="AQ420" s="233"/>
      <c r="AR420" s="233"/>
      <c r="AS420" s="233"/>
      <c r="AT420" s="233"/>
      <c r="AU420" s="233"/>
      <c r="AV420" s="233"/>
      <c r="AW420" s="233"/>
      <c r="AX420" s="233"/>
      <c r="AY420" s="233"/>
      <c r="AZ420" s="233"/>
      <c r="BA420" s="233"/>
      <c r="BB420" s="233"/>
      <c r="BC420" s="233"/>
      <c r="BD420" s="233"/>
      <c r="BE420" s="233"/>
      <c r="BF420" s="233"/>
      <c r="BG420" s="233"/>
      <c r="BH420" s="233"/>
      <c r="BI420" s="233"/>
      <c r="BJ420" s="233"/>
      <c r="BK420" s="233"/>
      <c r="BL420" s="233"/>
      <c r="BM420" s="233"/>
      <c r="BN420" s="233"/>
      <c r="BO420" s="233"/>
      <c r="BP420" s="233"/>
      <c r="BQ420" s="233"/>
      <c r="BR420" s="233"/>
      <c r="BS420" s="233"/>
      <c r="BT420" s="233"/>
      <c r="BU420" s="233"/>
      <c r="BV420" s="233"/>
      <c r="BW420" s="233"/>
      <c r="BX420" s="233"/>
      <c r="BY420" s="233"/>
      <c r="BZ420" s="233"/>
      <c r="CA420" s="233"/>
      <c r="CG420" s="243"/>
      <c r="CH420" s="243"/>
      <c r="CI420" s="243"/>
      <c r="CJ420" s="243"/>
      <c r="CK420" s="243"/>
      <c r="CL420" s="243"/>
      <c r="CM420" s="233"/>
      <c r="CN420" s="233"/>
      <c r="CO420" s="233"/>
      <c r="CP420" s="233"/>
      <c r="CQ420" s="233"/>
      <c r="CR420" s="233"/>
      <c r="CS420" s="233"/>
      <c r="CT420" s="233"/>
      <c r="CU420" s="233"/>
      <c r="CV420" s="233"/>
      <c r="CW420" s="233"/>
      <c r="CX420" s="233"/>
      <c r="CY420" s="233"/>
      <c r="CZ420" s="233"/>
      <c r="DA420" s="233"/>
      <c r="DB420" s="233"/>
      <c r="DC420" s="233"/>
      <c r="DD420" s="233"/>
    </row>
    <row r="421" spans="43:108" ht="15" customHeight="1" x14ac:dyDescent="0.25">
      <c r="AQ421" s="233"/>
      <c r="AR421" s="233"/>
      <c r="AS421" s="233"/>
      <c r="AT421" s="233"/>
      <c r="AU421" s="233"/>
      <c r="AV421" s="233"/>
      <c r="AW421" s="233"/>
      <c r="AX421" s="233"/>
      <c r="AY421" s="233"/>
      <c r="AZ421" s="233"/>
      <c r="BA421" s="233"/>
      <c r="BB421" s="233"/>
      <c r="BC421" s="233"/>
      <c r="BD421" s="233"/>
      <c r="BE421" s="233"/>
      <c r="BF421" s="233"/>
      <c r="BG421" s="233"/>
      <c r="BH421" s="233"/>
      <c r="BI421" s="233"/>
      <c r="BJ421" s="233"/>
      <c r="BK421" s="233"/>
      <c r="BL421" s="233"/>
      <c r="BM421" s="233"/>
      <c r="BN421" s="233"/>
      <c r="BO421" s="233"/>
      <c r="BP421" s="233"/>
      <c r="BQ421" s="233"/>
      <c r="BR421" s="233"/>
      <c r="BS421" s="233"/>
      <c r="BT421" s="233"/>
      <c r="BU421" s="233"/>
      <c r="BV421" s="233"/>
      <c r="BW421" s="233"/>
      <c r="BX421" s="233"/>
      <c r="BY421" s="233"/>
      <c r="BZ421" s="233"/>
      <c r="CA421" s="233"/>
      <c r="CG421" s="243"/>
      <c r="CH421" s="243"/>
      <c r="CI421" s="243"/>
      <c r="CJ421" s="243"/>
      <c r="CK421" s="243"/>
      <c r="CL421" s="243"/>
      <c r="CM421" s="233"/>
      <c r="CN421" s="233"/>
      <c r="CO421" s="233"/>
      <c r="CP421" s="233"/>
      <c r="CQ421" s="233"/>
      <c r="CR421" s="233"/>
      <c r="CS421" s="233"/>
      <c r="CT421" s="233"/>
      <c r="CU421" s="233"/>
      <c r="CV421" s="233"/>
      <c r="CW421" s="233"/>
      <c r="CX421" s="233"/>
      <c r="CY421" s="233"/>
      <c r="CZ421" s="233"/>
      <c r="DA421" s="233"/>
      <c r="DB421" s="233"/>
      <c r="DC421" s="233"/>
      <c r="DD421" s="233"/>
    </row>
    <row r="422" spans="43:108" ht="15" customHeight="1" x14ac:dyDescent="0.25">
      <c r="AQ422" s="233"/>
      <c r="AR422" s="233"/>
      <c r="AS422" s="233"/>
      <c r="AT422" s="233"/>
      <c r="AU422" s="233"/>
      <c r="AV422" s="233"/>
      <c r="AW422" s="233"/>
      <c r="AX422" s="233"/>
      <c r="AY422" s="233"/>
      <c r="AZ422" s="233"/>
      <c r="BA422" s="233"/>
      <c r="BB422" s="233"/>
      <c r="BC422" s="233"/>
      <c r="BD422" s="233"/>
      <c r="BE422" s="233"/>
      <c r="BF422" s="233"/>
      <c r="BG422" s="233"/>
      <c r="BH422" s="233"/>
      <c r="BI422" s="233"/>
      <c r="BJ422" s="233"/>
      <c r="BK422" s="233"/>
      <c r="BL422" s="233"/>
      <c r="BM422" s="233"/>
      <c r="BN422" s="233"/>
      <c r="BO422" s="233"/>
      <c r="BP422" s="233"/>
      <c r="BQ422" s="233"/>
      <c r="BR422" s="233"/>
      <c r="BS422" s="233"/>
      <c r="BT422" s="233"/>
      <c r="BU422" s="233"/>
      <c r="BV422" s="233"/>
      <c r="BW422" s="233"/>
      <c r="BX422" s="233"/>
      <c r="BY422" s="233"/>
      <c r="BZ422" s="233"/>
      <c r="CA422" s="233"/>
      <c r="CG422" s="243"/>
      <c r="CH422" s="243"/>
      <c r="CI422" s="243"/>
      <c r="CJ422" s="243"/>
      <c r="CK422" s="243"/>
      <c r="CL422" s="243"/>
      <c r="CM422" s="233"/>
      <c r="CN422" s="233"/>
      <c r="CO422" s="233"/>
      <c r="CP422" s="233"/>
      <c r="CQ422" s="233"/>
      <c r="CR422" s="233"/>
      <c r="CS422" s="233"/>
      <c r="CT422" s="233"/>
      <c r="CU422" s="233"/>
      <c r="CV422" s="233"/>
      <c r="CW422" s="233"/>
      <c r="CX422" s="233"/>
      <c r="CY422" s="233"/>
      <c r="CZ422" s="233"/>
      <c r="DA422" s="233"/>
      <c r="DB422" s="233"/>
      <c r="DC422" s="233"/>
      <c r="DD422" s="233"/>
    </row>
    <row r="423" spans="43:108" x14ac:dyDescent="0.25">
      <c r="AQ423" s="233"/>
      <c r="AR423" s="233"/>
      <c r="AS423" s="233"/>
      <c r="AT423" s="233"/>
      <c r="AU423" s="233"/>
      <c r="AV423" s="233"/>
      <c r="AW423" s="233"/>
      <c r="AX423" s="233"/>
      <c r="AY423" s="233"/>
      <c r="AZ423" s="233"/>
      <c r="BA423" s="233"/>
      <c r="BB423" s="233"/>
      <c r="BC423" s="233"/>
      <c r="BD423" s="233"/>
      <c r="BE423" s="233"/>
      <c r="BF423" s="233"/>
      <c r="BG423" s="233"/>
      <c r="BH423" s="233"/>
      <c r="BI423" s="233"/>
      <c r="BJ423" s="233"/>
      <c r="BK423" s="233"/>
      <c r="BL423" s="233"/>
      <c r="BM423" s="233"/>
      <c r="BN423" s="233"/>
      <c r="BO423" s="233"/>
      <c r="BP423" s="233"/>
      <c r="BQ423" s="233"/>
      <c r="BR423" s="233"/>
      <c r="BS423" s="233"/>
      <c r="BT423" s="233"/>
      <c r="BU423" s="233"/>
      <c r="BV423" s="233"/>
      <c r="BW423" s="233"/>
      <c r="BX423" s="233"/>
      <c r="BY423" s="233"/>
      <c r="BZ423" s="233"/>
      <c r="CA423" s="233"/>
      <c r="CG423" s="243"/>
      <c r="CH423" s="243"/>
      <c r="CI423" s="243"/>
      <c r="CJ423" s="243"/>
      <c r="CK423" s="243"/>
      <c r="CL423" s="243"/>
      <c r="CM423" s="233"/>
      <c r="CN423" s="233"/>
      <c r="CO423" s="233"/>
      <c r="CP423" s="233"/>
      <c r="CQ423" s="233"/>
      <c r="CR423" s="233"/>
      <c r="CS423" s="233"/>
      <c r="CT423" s="233"/>
      <c r="CU423" s="233"/>
      <c r="CV423" s="233"/>
      <c r="CW423" s="233"/>
      <c r="CX423" s="233"/>
      <c r="CY423" s="233"/>
      <c r="CZ423" s="233"/>
      <c r="DA423" s="233"/>
      <c r="DB423" s="233"/>
      <c r="DC423" s="233"/>
      <c r="DD423" s="233"/>
    </row>
    <row r="424" spans="43:108" x14ac:dyDescent="0.25">
      <c r="AQ424" s="233"/>
      <c r="AR424" s="233"/>
      <c r="AS424" s="233"/>
      <c r="AT424" s="233"/>
      <c r="AU424" s="233"/>
      <c r="AV424" s="233"/>
      <c r="AW424" s="233"/>
      <c r="AX424" s="233"/>
      <c r="AY424" s="233"/>
      <c r="AZ424" s="233"/>
      <c r="BA424" s="233"/>
      <c r="BB424" s="233"/>
      <c r="BC424" s="233"/>
      <c r="BD424" s="233"/>
      <c r="BE424" s="233"/>
      <c r="BF424" s="233"/>
      <c r="BG424" s="233"/>
      <c r="BH424" s="233"/>
      <c r="BI424" s="233"/>
      <c r="BJ424" s="233"/>
      <c r="BK424" s="233"/>
      <c r="BL424" s="233"/>
      <c r="BM424" s="233"/>
      <c r="BN424" s="233"/>
      <c r="BO424" s="233"/>
      <c r="BP424" s="233"/>
      <c r="BQ424" s="233"/>
      <c r="BR424" s="233"/>
      <c r="BS424" s="233"/>
      <c r="BT424" s="233"/>
      <c r="BU424" s="233"/>
      <c r="BV424" s="233"/>
      <c r="BW424" s="233"/>
      <c r="BX424" s="233"/>
      <c r="BY424" s="233"/>
      <c r="BZ424" s="233"/>
      <c r="CA424" s="233"/>
      <c r="CG424" s="243"/>
      <c r="CH424" s="243"/>
      <c r="CI424" s="243"/>
      <c r="CJ424" s="243"/>
      <c r="CK424" s="243"/>
      <c r="CL424" s="243"/>
      <c r="CM424" s="233"/>
      <c r="CN424" s="233"/>
      <c r="CO424" s="233"/>
      <c r="CP424" s="233"/>
      <c r="CQ424" s="233"/>
      <c r="CR424" s="233"/>
      <c r="CS424" s="233"/>
      <c r="CT424" s="233"/>
      <c r="CU424" s="233"/>
      <c r="CV424" s="233"/>
      <c r="CW424" s="233"/>
      <c r="CX424" s="233"/>
      <c r="CY424" s="233"/>
      <c r="CZ424" s="233"/>
      <c r="DA424" s="233"/>
      <c r="DB424" s="233"/>
      <c r="DC424" s="233"/>
      <c r="DD424" s="233"/>
    </row>
    <row r="425" spans="43:108" x14ac:dyDescent="0.25">
      <c r="AQ425" s="233"/>
      <c r="AR425" s="233"/>
      <c r="AS425" s="233"/>
      <c r="AT425" s="233"/>
      <c r="AU425" s="233"/>
      <c r="AV425" s="233"/>
      <c r="AW425" s="233"/>
      <c r="AX425" s="233"/>
      <c r="AY425" s="233"/>
      <c r="AZ425" s="233"/>
      <c r="BA425" s="233"/>
      <c r="BB425" s="233"/>
      <c r="BC425" s="233"/>
      <c r="BD425" s="233"/>
      <c r="BE425" s="233"/>
      <c r="BF425" s="233"/>
      <c r="BG425" s="233"/>
      <c r="BH425" s="233"/>
      <c r="BI425" s="233"/>
      <c r="BJ425" s="233"/>
      <c r="BK425" s="233"/>
      <c r="BL425" s="233"/>
      <c r="BM425" s="233"/>
      <c r="BN425" s="233"/>
      <c r="BO425" s="233"/>
      <c r="BP425" s="233"/>
      <c r="BQ425" s="233"/>
      <c r="BR425" s="233"/>
      <c r="BS425" s="233"/>
      <c r="BT425" s="233"/>
      <c r="BU425" s="233"/>
      <c r="BV425" s="233"/>
      <c r="BW425" s="233"/>
      <c r="BX425" s="233"/>
      <c r="BY425" s="233"/>
      <c r="BZ425" s="233"/>
      <c r="CA425" s="233"/>
      <c r="CG425" s="243"/>
      <c r="CH425" s="243"/>
      <c r="CI425" s="243"/>
      <c r="CJ425" s="243"/>
      <c r="CK425" s="243"/>
      <c r="CL425" s="243"/>
      <c r="CM425" s="233"/>
      <c r="CN425" s="233"/>
      <c r="CO425" s="233"/>
      <c r="CP425" s="233"/>
      <c r="CQ425" s="233"/>
      <c r="CR425" s="233"/>
      <c r="CS425" s="233"/>
      <c r="CT425" s="233"/>
      <c r="CU425" s="233"/>
      <c r="CV425" s="233"/>
      <c r="CW425" s="233"/>
      <c r="CX425" s="233"/>
      <c r="CY425" s="233"/>
      <c r="CZ425" s="233"/>
      <c r="DA425" s="233"/>
      <c r="DB425" s="233"/>
      <c r="DC425" s="233"/>
      <c r="DD425" s="233"/>
    </row>
    <row r="426" spans="43:108" x14ac:dyDescent="0.25">
      <c r="AQ426" s="233"/>
      <c r="AR426" s="233"/>
      <c r="AS426" s="233"/>
      <c r="AT426" s="233"/>
      <c r="AU426" s="233"/>
      <c r="AV426" s="233"/>
      <c r="AW426" s="233"/>
      <c r="AX426" s="233"/>
      <c r="AY426" s="233"/>
      <c r="AZ426" s="233"/>
      <c r="BA426" s="233"/>
      <c r="BB426" s="233"/>
      <c r="BC426" s="233"/>
      <c r="BD426" s="233"/>
      <c r="BE426" s="233"/>
      <c r="BF426" s="233"/>
      <c r="BG426" s="233"/>
      <c r="BH426" s="233"/>
      <c r="BI426" s="233"/>
      <c r="BJ426" s="233"/>
      <c r="BK426" s="233"/>
      <c r="BL426" s="233"/>
      <c r="BM426" s="233"/>
      <c r="BN426" s="233"/>
      <c r="BO426" s="233"/>
      <c r="BP426" s="233"/>
      <c r="BQ426" s="233"/>
      <c r="BR426" s="233"/>
      <c r="BS426" s="233"/>
      <c r="BT426" s="233"/>
      <c r="BU426" s="233"/>
      <c r="BV426" s="233"/>
      <c r="BW426" s="233"/>
      <c r="BX426" s="233"/>
      <c r="BY426" s="233"/>
      <c r="BZ426" s="233"/>
      <c r="CA426" s="233"/>
      <c r="CG426" s="243"/>
      <c r="CH426" s="243"/>
      <c r="CI426" s="243"/>
      <c r="CJ426" s="243"/>
      <c r="CK426" s="243"/>
      <c r="CL426" s="243"/>
      <c r="CM426" s="233"/>
      <c r="CN426" s="233"/>
      <c r="CO426" s="233"/>
      <c r="CP426" s="233"/>
      <c r="CQ426" s="233"/>
      <c r="CR426" s="233"/>
      <c r="CS426" s="233"/>
      <c r="CT426" s="233"/>
      <c r="CU426" s="233"/>
      <c r="CV426" s="233"/>
      <c r="CW426" s="233"/>
      <c r="CX426" s="233"/>
      <c r="CY426" s="233"/>
      <c r="CZ426" s="233"/>
      <c r="DA426" s="233"/>
      <c r="DB426" s="233"/>
      <c r="DC426" s="233"/>
      <c r="DD426" s="233"/>
    </row>
    <row r="427" spans="43:108" x14ac:dyDescent="0.25">
      <c r="AQ427" s="233"/>
      <c r="AR427" s="233"/>
      <c r="AS427" s="233"/>
      <c r="AT427" s="233"/>
      <c r="AU427" s="233"/>
      <c r="AV427" s="233"/>
      <c r="AW427" s="233"/>
      <c r="AX427" s="233"/>
      <c r="AY427" s="233"/>
      <c r="AZ427" s="233"/>
      <c r="BA427" s="233"/>
      <c r="BB427" s="233"/>
      <c r="BC427" s="233"/>
      <c r="BD427" s="233"/>
      <c r="BE427" s="233"/>
      <c r="BF427" s="233"/>
      <c r="BG427" s="233"/>
      <c r="BH427" s="233"/>
      <c r="BI427" s="233"/>
      <c r="BJ427" s="233"/>
      <c r="BK427" s="233"/>
      <c r="BL427" s="233"/>
      <c r="BM427" s="233"/>
      <c r="BN427" s="233"/>
      <c r="BO427" s="233"/>
      <c r="BP427" s="233"/>
      <c r="BQ427" s="233"/>
      <c r="BR427" s="233"/>
      <c r="BS427" s="233"/>
      <c r="BT427" s="233"/>
      <c r="BU427" s="233"/>
      <c r="BV427" s="233"/>
      <c r="BW427" s="233"/>
      <c r="BX427" s="233"/>
      <c r="BY427" s="233"/>
      <c r="BZ427" s="233"/>
      <c r="CA427" s="233"/>
      <c r="CG427" s="243"/>
      <c r="CH427" s="243"/>
      <c r="CI427" s="243"/>
      <c r="CJ427" s="243"/>
      <c r="CK427" s="243"/>
      <c r="CL427" s="243"/>
      <c r="CM427" s="233"/>
      <c r="CN427" s="233"/>
      <c r="CO427" s="233"/>
      <c r="CP427" s="233"/>
      <c r="CQ427" s="233"/>
      <c r="CR427" s="233"/>
      <c r="CS427" s="233"/>
      <c r="CT427" s="233"/>
      <c r="CU427" s="233"/>
      <c r="CV427" s="233"/>
      <c r="CW427" s="233"/>
      <c r="CX427" s="233"/>
      <c r="CY427" s="233"/>
      <c r="CZ427" s="233"/>
      <c r="DA427" s="233"/>
      <c r="DB427" s="233"/>
      <c r="DC427" s="233"/>
      <c r="DD427" s="233"/>
    </row>
    <row r="428" spans="43:108" x14ac:dyDescent="0.25">
      <c r="AQ428" s="233"/>
      <c r="AR428" s="233"/>
      <c r="AS428" s="233"/>
      <c r="AT428" s="233"/>
      <c r="AU428" s="233"/>
      <c r="AV428" s="233"/>
      <c r="AW428" s="233"/>
      <c r="AX428" s="233"/>
      <c r="AY428" s="233"/>
      <c r="AZ428" s="233"/>
      <c r="BA428" s="233"/>
      <c r="BB428" s="233"/>
      <c r="BC428" s="233"/>
      <c r="BD428" s="233"/>
      <c r="BE428" s="233"/>
      <c r="BF428" s="233"/>
      <c r="BG428" s="233"/>
      <c r="BH428" s="233"/>
      <c r="BI428" s="233"/>
      <c r="BJ428" s="233"/>
      <c r="BK428" s="233"/>
      <c r="BL428" s="233"/>
      <c r="BM428" s="233"/>
      <c r="BN428" s="233"/>
      <c r="BO428" s="233"/>
      <c r="BP428" s="233"/>
      <c r="BQ428" s="233"/>
      <c r="BR428" s="233"/>
      <c r="BS428" s="233"/>
      <c r="BT428" s="233"/>
      <c r="BU428" s="233"/>
      <c r="BV428" s="233"/>
      <c r="BW428" s="233"/>
      <c r="BX428" s="233"/>
      <c r="BY428" s="233"/>
      <c r="BZ428" s="233"/>
      <c r="CA428" s="233"/>
      <c r="CG428" s="243"/>
      <c r="CH428" s="243"/>
      <c r="CI428" s="243"/>
      <c r="CJ428" s="243"/>
      <c r="CK428" s="243"/>
      <c r="CL428" s="243"/>
      <c r="CM428" s="233"/>
      <c r="CN428" s="233"/>
      <c r="CO428" s="233"/>
      <c r="CP428" s="233"/>
      <c r="CQ428" s="233"/>
      <c r="CR428" s="233"/>
      <c r="CS428" s="233"/>
      <c r="CT428" s="233"/>
      <c r="CU428" s="233"/>
      <c r="CV428" s="233"/>
      <c r="CW428" s="233"/>
      <c r="CX428" s="233"/>
      <c r="CY428" s="233"/>
      <c r="CZ428" s="233"/>
      <c r="DA428" s="233"/>
      <c r="DB428" s="233"/>
      <c r="DC428" s="233"/>
      <c r="DD428" s="233"/>
    </row>
    <row r="429" spans="43:108" x14ac:dyDescent="0.25">
      <c r="AQ429" s="233"/>
      <c r="AR429" s="233"/>
      <c r="AS429" s="233"/>
      <c r="AT429" s="233"/>
      <c r="AU429" s="233"/>
      <c r="AV429" s="233"/>
      <c r="AW429" s="233"/>
      <c r="AX429" s="233"/>
      <c r="AY429" s="233"/>
      <c r="AZ429" s="233"/>
      <c r="BA429" s="233"/>
      <c r="BB429" s="233"/>
      <c r="BC429" s="233"/>
      <c r="BD429" s="233"/>
      <c r="BE429" s="233"/>
      <c r="BF429" s="233"/>
      <c r="BG429" s="233"/>
      <c r="BH429" s="233"/>
      <c r="BI429" s="233"/>
      <c r="BJ429" s="233"/>
      <c r="BK429" s="233"/>
      <c r="BL429" s="233"/>
      <c r="BM429" s="233"/>
      <c r="BN429" s="233"/>
      <c r="BO429" s="233"/>
      <c r="BP429" s="233"/>
      <c r="BQ429" s="233"/>
      <c r="BR429" s="233"/>
      <c r="BS429" s="233"/>
      <c r="BT429" s="233"/>
      <c r="BU429" s="233"/>
      <c r="BV429" s="233"/>
      <c r="BW429" s="233"/>
      <c r="BX429" s="233"/>
      <c r="BY429" s="233"/>
      <c r="BZ429" s="233"/>
      <c r="CA429" s="233"/>
      <c r="CG429" s="243"/>
      <c r="CH429" s="243"/>
      <c r="CI429" s="243"/>
      <c r="CJ429" s="243"/>
      <c r="CK429" s="243"/>
      <c r="CL429" s="243"/>
      <c r="CM429" s="233"/>
      <c r="CN429" s="233"/>
      <c r="CO429" s="233"/>
      <c r="CP429" s="233"/>
      <c r="CQ429" s="233"/>
      <c r="CR429" s="233"/>
      <c r="CS429" s="233"/>
      <c r="CT429" s="233"/>
      <c r="CU429" s="233"/>
      <c r="CV429" s="233"/>
      <c r="CW429" s="233"/>
      <c r="CX429" s="233"/>
      <c r="CY429" s="233"/>
      <c r="CZ429" s="233"/>
      <c r="DA429" s="233"/>
      <c r="DB429" s="233"/>
      <c r="DC429" s="233"/>
      <c r="DD429" s="233"/>
    </row>
    <row r="430" spans="43:108" x14ac:dyDescent="0.25">
      <c r="AQ430" s="233"/>
      <c r="AR430" s="233"/>
      <c r="AS430" s="233"/>
      <c r="AT430" s="233"/>
      <c r="AU430" s="233"/>
      <c r="AV430" s="233"/>
      <c r="AW430" s="233"/>
      <c r="AX430" s="233"/>
      <c r="AY430" s="233"/>
      <c r="AZ430" s="233"/>
      <c r="BA430" s="233"/>
      <c r="BB430" s="233"/>
      <c r="BC430" s="233"/>
      <c r="BD430" s="233"/>
      <c r="BE430" s="233"/>
      <c r="BF430" s="233"/>
      <c r="BG430" s="233"/>
      <c r="BH430" s="233"/>
      <c r="BI430" s="233"/>
      <c r="BJ430" s="233"/>
      <c r="BK430" s="233"/>
      <c r="BL430" s="233"/>
      <c r="BM430" s="233"/>
      <c r="BN430" s="233"/>
      <c r="BO430" s="233"/>
      <c r="BP430" s="233"/>
      <c r="BQ430" s="233"/>
      <c r="BR430" s="233"/>
      <c r="BS430" s="233"/>
      <c r="BT430" s="233"/>
      <c r="BU430" s="233"/>
      <c r="BV430" s="233"/>
      <c r="BW430" s="233"/>
      <c r="BX430" s="233"/>
      <c r="BY430" s="233"/>
      <c r="BZ430" s="233"/>
      <c r="CA430" s="233"/>
      <c r="CG430" s="243"/>
      <c r="CH430" s="243"/>
      <c r="CI430" s="243"/>
      <c r="CJ430" s="243"/>
      <c r="CK430" s="243"/>
      <c r="CL430" s="243"/>
      <c r="CM430" s="233"/>
      <c r="CN430" s="233"/>
      <c r="CO430" s="233"/>
      <c r="CP430" s="233"/>
      <c r="CQ430" s="233"/>
      <c r="CR430" s="233"/>
      <c r="CS430" s="233"/>
      <c r="CT430" s="233"/>
      <c r="CU430" s="233"/>
      <c r="CV430" s="233"/>
      <c r="CW430" s="233"/>
      <c r="CX430" s="233"/>
      <c r="CY430" s="233"/>
      <c r="CZ430" s="233"/>
      <c r="DA430" s="233"/>
      <c r="DB430" s="233"/>
      <c r="DC430" s="233"/>
      <c r="DD430" s="233"/>
    </row>
    <row r="431" spans="43:108" x14ac:dyDescent="0.25">
      <c r="AQ431" s="233"/>
      <c r="AR431" s="233"/>
      <c r="AS431" s="233"/>
      <c r="AT431" s="233"/>
      <c r="AU431" s="233"/>
      <c r="AV431" s="233"/>
      <c r="AW431" s="233"/>
      <c r="AX431" s="233"/>
      <c r="AY431" s="233"/>
      <c r="AZ431" s="233"/>
      <c r="BA431" s="233"/>
      <c r="BB431" s="233"/>
      <c r="BC431" s="233"/>
      <c r="BD431" s="233"/>
      <c r="BE431" s="233"/>
      <c r="BF431" s="233"/>
      <c r="BG431" s="233"/>
      <c r="BH431" s="233"/>
      <c r="BI431" s="233"/>
      <c r="BJ431" s="233"/>
      <c r="BK431" s="233"/>
      <c r="BL431" s="233"/>
      <c r="BM431" s="233"/>
      <c r="BN431" s="233"/>
      <c r="BO431" s="233"/>
      <c r="BP431" s="233"/>
      <c r="BQ431" s="233"/>
      <c r="BR431" s="233"/>
      <c r="BS431" s="233"/>
      <c r="BT431" s="233"/>
      <c r="BU431" s="233"/>
      <c r="BV431" s="233"/>
      <c r="BW431" s="233"/>
      <c r="BX431" s="233"/>
      <c r="BY431" s="233"/>
      <c r="BZ431" s="233"/>
      <c r="CA431" s="233"/>
      <c r="CG431" s="243"/>
      <c r="CH431" s="243"/>
      <c r="CI431" s="243"/>
      <c r="CJ431" s="243"/>
      <c r="CK431" s="243"/>
      <c r="CL431" s="243"/>
      <c r="CM431" s="233"/>
      <c r="CN431" s="233"/>
      <c r="CO431" s="233"/>
      <c r="CP431" s="233"/>
      <c r="CQ431" s="233"/>
      <c r="CR431" s="233"/>
      <c r="CS431" s="233"/>
      <c r="CT431" s="233"/>
      <c r="CU431" s="233"/>
      <c r="CV431" s="233"/>
      <c r="CW431" s="233"/>
      <c r="CX431" s="233"/>
      <c r="CY431" s="233"/>
      <c r="CZ431" s="233"/>
      <c r="DA431" s="233"/>
      <c r="DB431" s="233"/>
      <c r="DC431" s="233"/>
      <c r="DD431" s="233"/>
    </row>
    <row r="432" spans="43:108" x14ac:dyDescent="0.25">
      <c r="AQ432" s="233"/>
      <c r="AR432" s="233"/>
      <c r="AS432" s="233"/>
      <c r="AT432" s="233"/>
      <c r="AU432" s="233"/>
      <c r="AV432" s="233"/>
      <c r="AW432" s="233"/>
      <c r="AX432" s="233"/>
      <c r="AY432" s="233"/>
      <c r="AZ432" s="233"/>
      <c r="BA432" s="233"/>
      <c r="BB432" s="233"/>
      <c r="BC432" s="233"/>
      <c r="BD432" s="233"/>
      <c r="BE432" s="233"/>
      <c r="BF432" s="233"/>
      <c r="BG432" s="233"/>
      <c r="BH432" s="233"/>
      <c r="BI432" s="233"/>
      <c r="BJ432" s="233"/>
      <c r="BK432" s="233"/>
      <c r="BL432" s="233"/>
      <c r="BM432" s="233"/>
      <c r="BN432" s="233"/>
      <c r="BO432" s="233"/>
      <c r="BP432" s="233"/>
      <c r="BQ432" s="233"/>
      <c r="BR432" s="233"/>
      <c r="BS432" s="233"/>
      <c r="BT432" s="233"/>
      <c r="BU432" s="233"/>
      <c r="BV432" s="233"/>
      <c r="BW432" s="233"/>
      <c r="BX432" s="233"/>
      <c r="BY432" s="233"/>
      <c r="BZ432" s="233"/>
      <c r="CA432" s="233"/>
      <c r="CG432" s="243"/>
      <c r="CH432" s="243"/>
      <c r="CI432" s="243"/>
      <c r="CJ432" s="243"/>
      <c r="CK432" s="243"/>
      <c r="CL432" s="243"/>
      <c r="CM432" s="233"/>
      <c r="CN432" s="233"/>
      <c r="CO432" s="233"/>
      <c r="CP432" s="233"/>
      <c r="CQ432" s="233"/>
      <c r="CR432" s="233"/>
      <c r="CS432" s="233"/>
      <c r="CT432" s="233"/>
      <c r="CU432" s="233"/>
      <c r="CV432" s="233"/>
      <c r="CW432" s="233"/>
      <c r="CX432" s="233"/>
      <c r="CY432" s="233"/>
      <c r="CZ432" s="233"/>
      <c r="DA432" s="233"/>
      <c r="DB432" s="233"/>
      <c r="DC432" s="233"/>
      <c r="DD432" s="233"/>
    </row>
    <row r="433" spans="43:108" x14ac:dyDescent="0.25">
      <c r="AQ433" s="233"/>
      <c r="AR433" s="233"/>
      <c r="AS433" s="233"/>
      <c r="AT433" s="233"/>
      <c r="AU433" s="233"/>
      <c r="AV433" s="233"/>
      <c r="AW433" s="233"/>
      <c r="AX433" s="233"/>
      <c r="AY433" s="233"/>
      <c r="AZ433" s="233"/>
      <c r="BA433" s="233"/>
      <c r="BB433" s="233"/>
      <c r="BC433" s="233"/>
      <c r="BD433" s="233"/>
      <c r="BE433" s="233"/>
      <c r="BF433" s="233"/>
      <c r="BG433" s="233"/>
      <c r="BH433" s="233"/>
      <c r="BI433" s="233"/>
      <c r="BJ433" s="233"/>
      <c r="BK433" s="233"/>
      <c r="BL433" s="233"/>
      <c r="BM433" s="233"/>
      <c r="BN433" s="233"/>
      <c r="BO433" s="233"/>
      <c r="BP433" s="233"/>
      <c r="BQ433" s="233"/>
      <c r="BR433" s="233"/>
      <c r="BS433" s="233"/>
      <c r="BT433" s="233"/>
      <c r="BU433" s="233"/>
      <c r="BV433" s="233"/>
      <c r="BW433" s="233"/>
      <c r="BX433" s="233"/>
      <c r="BY433" s="233"/>
      <c r="BZ433" s="233"/>
      <c r="CA433" s="233"/>
      <c r="CG433" s="243"/>
      <c r="CH433" s="243"/>
      <c r="CI433" s="243"/>
      <c r="CJ433" s="243"/>
      <c r="CK433" s="243"/>
      <c r="CL433" s="243"/>
      <c r="CM433" s="233"/>
      <c r="CN433" s="233"/>
      <c r="CO433" s="233"/>
      <c r="CP433" s="233"/>
      <c r="CQ433" s="233"/>
      <c r="CR433" s="233"/>
      <c r="CS433" s="233"/>
      <c r="CT433" s="233"/>
      <c r="CU433" s="233"/>
      <c r="CV433" s="233"/>
      <c r="CW433" s="233"/>
      <c r="CX433" s="233"/>
      <c r="CY433" s="233"/>
      <c r="CZ433" s="233"/>
      <c r="DA433" s="233"/>
      <c r="DB433" s="233"/>
      <c r="DC433" s="233"/>
      <c r="DD433" s="233"/>
    </row>
    <row r="434" spans="43:108" x14ac:dyDescent="0.25">
      <c r="AQ434" s="233"/>
      <c r="AR434" s="233"/>
      <c r="AS434" s="233"/>
      <c r="AT434" s="233"/>
      <c r="AU434" s="233"/>
      <c r="AV434" s="233"/>
      <c r="AW434" s="233"/>
      <c r="AX434" s="233"/>
      <c r="AY434" s="233"/>
      <c r="AZ434" s="233"/>
      <c r="BA434" s="233"/>
      <c r="BB434" s="233"/>
      <c r="BC434" s="233"/>
      <c r="BD434" s="233"/>
      <c r="BE434" s="233"/>
      <c r="BF434" s="233"/>
      <c r="BG434" s="233"/>
      <c r="BH434" s="233"/>
      <c r="BI434" s="233"/>
      <c r="BJ434" s="233"/>
      <c r="BK434" s="233"/>
      <c r="BL434" s="233"/>
      <c r="BM434" s="233"/>
      <c r="BN434" s="233"/>
      <c r="BO434" s="233"/>
      <c r="BP434" s="233"/>
      <c r="BQ434" s="233"/>
      <c r="BR434" s="233"/>
      <c r="BS434" s="233"/>
      <c r="BT434" s="233"/>
      <c r="BU434" s="233"/>
      <c r="BV434" s="233"/>
      <c r="BW434" s="233"/>
      <c r="BX434" s="233"/>
      <c r="BY434" s="233"/>
      <c r="BZ434" s="233"/>
      <c r="CA434" s="233"/>
      <c r="CG434" s="243"/>
      <c r="CH434" s="243"/>
      <c r="CI434" s="243"/>
      <c r="CJ434" s="243"/>
      <c r="CK434" s="243"/>
      <c r="CL434" s="243"/>
      <c r="CM434" s="233"/>
      <c r="CN434" s="233"/>
      <c r="CO434" s="233"/>
      <c r="CP434" s="233"/>
      <c r="CQ434" s="233"/>
      <c r="CR434" s="233"/>
      <c r="CS434" s="233"/>
      <c r="CT434" s="233"/>
      <c r="CU434" s="233"/>
      <c r="CV434" s="233"/>
      <c r="CW434" s="233"/>
      <c r="CX434" s="233"/>
      <c r="CY434" s="233"/>
      <c r="CZ434" s="233"/>
      <c r="DA434" s="233"/>
      <c r="DB434" s="233"/>
      <c r="DC434" s="233"/>
      <c r="DD434" s="233"/>
    </row>
    <row r="435" spans="43:108" x14ac:dyDescent="0.25">
      <c r="AQ435" s="233"/>
      <c r="AR435" s="233"/>
      <c r="AS435" s="233"/>
      <c r="AT435" s="233"/>
      <c r="AU435" s="233"/>
      <c r="AV435" s="233"/>
      <c r="AW435" s="233"/>
      <c r="AX435" s="233"/>
      <c r="AY435" s="233"/>
      <c r="AZ435" s="233"/>
      <c r="BA435" s="233"/>
      <c r="BB435" s="233"/>
      <c r="BC435" s="233"/>
      <c r="BD435" s="233"/>
      <c r="BE435" s="233"/>
      <c r="BF435" s="233"/>
      <c r="BG435" s="233"/>
      <c r="BH435" s="233"/>
      <c r="BI435" s="233"/>
      <c r="BJ435" s="233"/>
      <c r="BK435" s="233"/>
      <c r="BL435" s="233"/>
      <c r="BM435" s="233"/>
      <c r="BN435" s="233"/>
      <c r="BO435" s="233"/>
      <c r="BP435" s="233"/>
      <c r="BQ435" s="233"/>
      <c r="BR435" s="233"/>
      <c r="BS435" s="233"/>
      <c r="BT435" s="233"/>
      <c r="BU435" s="233"/>
      <c r="BV435" s="233"/>
      <c r="BW435" s="233"/>
      <c r="BX435" s="233"/>
      <c r="BY435" s="233"/>
      <c r="BZ435" s="233"/>
      <c r="CA435" s="233"/>
      <c r="CG435" s="243"/>
      <c r="CH435" s="243"/>
      <c r="CI435" s="243"/>
      <c r="CJ435" s="243"/>
      <c r="CK435" s="243"/>
      <c r="CL435" s="243"/>
      <c r="CM435" s="233"/>
      <c r="CN435" s="233"/>
      <c r="CO435" s="233"/>
      <c r="CP435" s="233"/>
      <c r="CQ435" s="233"/>
      <c r="CR435" s="233"/>
      <c r="CS435" s="233"/>
      <c r="CT435" s="233"/>
      <c r="CU435" s="233"/>
      <c r="CV435" s="233"/>
      <c r="CW435" s="233"/>
      <c r="CX435" s="233"/>
      <c r="CY435" s="233"/>
      <c r="CZ435" s="233"/>
      <c r="DA435" s="233"/>
      <c r="DB435" s="233"/>
      <c r="DC435" s="233"/>
      <c r="DD435" s="233"/>
    </row>
    <row r="436" spans="43:108" x14ac:dyDescent="0.25">
      <c r="AQ436" s="233"/>
      <c r="AR436" s="233"/>
      <c r="AS436" s="233"/>
      <c r="AT436" s="233"/>
      <c r="AU436" s="233"/>
      <c r="AV436" s="233"/>
      <c r="AW436" s="233"/>
      <c r="AX436" s="233"/>
      <c r="AY436" s="233"/>
      <c r="AZ436" s="233"/>
      <c r="BA436" s="233"/>
      <c r="BB436" s="233"/>
      <c r="BC436" s="233"/>
      <c r="BD436" s="233"/>
      <c r="BE436" s="233"/>
      <c r="BF436" s="233"/>
      <c r="BG436" s="233"/>
      <c r="BH436" s="233"/>
      <c r="BI436" s="233"/>
      <c r="BJ436" s="233"/>
      <c r="BK436" s="233"/>
      <c r="BL436" s="233"/>
      <c r="BM436" s="233"/>
      <c r="BN436" s="233"/>
      <c r="BO436" s="233"/>
      <c r="BP436" s="233"/>
      <c r="BQ436" s="233"/>
      <c r="BR436" s="233"/>
      <c r="BS436" s="233"/>
      <c r="BT436" s="233"/>
      <c r="BU436" s="233"/>
      <c r="BV436" s="233"/>
      <c r="BW436" s="233"/>
      <c r="BX436" s="233"/>
      <c r="BY436" s="233"/>
      <c r="BZ436" s="233"/>
      <c r="CA436" s="233"/>
      <c r="CG436" s="243"/>
      <c r="CH436" s="243"/>
      <c r="CI436" s="243"/>
      <c r="CJ436" s="243"/>
      <c r="CK436" s="243"/>
      <c r="CL436" s="243"/>
      <c r="CM436" s="233"/>
      <c r="CN436" s="233"/>
      <c r="CO436" s="233"/>
      <c r="CP436" s="233"/>
      <c r="CQ436" s="233"/>
      <c r="CR436" s="233"/>
      <c r="CS436" s="233"/>
      <c r="CT436" s="233"/>
      <c r="CU436" s="233"/>
      <c r="CV436" s="233"/>
      <c r="CW436" s="233"/>
      <c r="CX436" s="233"/>
      <c r="CY436" s="233"/>
      <c r="CZ436" s="233"/>
      <c r="DA436" s="233"/>
      <c r="DB436" s="233"/>
      <c r="DC436" s="233"/>
      <c r="DD436" s="233"/>
    </row>
    <row r="437" spans="43:108" x14ac:dyDescent="0.25">
      <c r="AQ437" s="233"/>
      <c r="AR437" s="233"/>
      <c r="AS437" s="233"/>
      <c r="AT437" s="233"/>
      <c r="AU437" s="233"/>
      <c r="AV437" s="233"/>
      <c r="AW437" s="233"/>
      <c r="AX437" s="233"/>
      <c r="AY437" s="233"/>
      <c r="AZ437" s="233"/>
      <c r="BA437" s="233"/>
      <c r="BB437" s="233"/>
      <c r="BC437" s="233"/>
      <c r="BD437" s="233"/>
      <c r="BE437" s="233"/>
      <c r="BF437" s="233"/>
      <c r="BG437" s="233"/>
      <c r="BH437" s="233"/>
      <c r="BI437" s="233"/>
      <c r="BJ437" s="233"/>
      <c r="BK437" s="233"/>
      <c r="BL437" s="233"/>
      <c r="BM437" s="233"/>
      <c r="BN437" s="233"/>
      <c r="BO437" s="233"/>
      <c r="BP437" s="233"/>
      <c r="BQ437" s="233"/>
      <c r="BR437" s="233"/>
      <c r="BS437" s="233"/>
      <c r="BT437" s="233"/>
      <c r="BU437" s="233"/>
      <c r="BV437" s="233"/>
      <c r="BW437" s="233"/>
      <c r="BX437" s="233"/>
      <c r="BY437" s="233"/>
      <c r="BZ437" s="233"/>
      <c r="CA437" s="233"/>
      <c r="CG437" s="243"/>
      <c r="CH437" s="243"/>
      <c r="CI437" s="243"/>
      <c r="CJ437" s="243"/>
      <c r="CK437" s="243"/>
      <c r="CL437" s="243"/>
      <c r="CM437" s="233"/>
      <c r="CN437" s="233"/>
      <c r="CO437" s="233"/>
      <c r="CP437" s="233"/>
      <c r="CQ437" s="233"/>
      <c r="CR437" s="233"/>
      <c r="CS437" s="233"/>
      <c r="CT437" s="233"/>
      <c r="CU437" s="233"/>
      <c r="CV437" s="233"/>
      <c r="CW437" s="233"/>
      <c r="CX437" s="233"/>
      <c r="CY437" s="233"/>
      <c r="CZ437" s="233"/>
      <c r="DA437" s="233"/>
      <c r="DB437" s="233"/>
      <c r="DC437" s="233"/>
      <c r="DD437" s="233"/>
    </row>
    <row r="438" spans="43:108" x14ac:dyDescent="0.25">
      <c r="AQ438" s="233"/>
      <c r="AR438" s="233"/>
      <c r="AS438" s="233"/>
      <c r="AT438" s="233"/>
      <c r="AU438" s="233"/>
      <c r="AV438" s="233"/>
      <c r="AW438" s="233"/>
      <c r="AX438" s="233"/>
      <c r="AY438" s="233"/>
      <c r="AZ438" s="233"/>
      <c r="BA438" s="233"/>
      <c r="BB438" s="233"/>
      <c r="BC438" s="233"/>
      <c r="BD438" s="233"/>
      <c r="BE438" s="233"/>
      <c r="BF438" s="233"/>
      <c r="BG438" s="233"/>
      <c r="BH438" s="233"/>
      <c r="BI438" s="233"/>
      <c r="BJ438" s="233"/>
      <c r="BK438" s="233"/>
      <c r="BL438" s="233"/>
      <c r="BM438" s="233"/>
      <c r="BN438" s="233"/>
      <c r="BO438" s="233"/>
      <c r="BP438" s="233"/>
      <c r="BQ438" s="233"/>
      <c r="BR438" s="233"/>
      <c r="BS438" s="233"/>
      <c r="BT438" s="233"/>
      <c r="BU438" s="233"/>
      <c r="BV438" s="233"/>
      <c r="BW438" s="233"/>
      <c r="BX438" s="233"/>
      <c r="BY438" s="233"/>
      <c r="BZ438" s="233"/>
      <c r="CA438" s="233"/>
      <c r="CG438" s="243"/>
      <c r="CH438" s="243"/>
      <c r="CI438" s="243"/>
      <c r="CJ438" s="243"/>
      <c r="CK438" s="243"/>
      <c r="CL438" s="243"/>
      <c r="CM438" s="233"/>
      <c r="CN438" s="233"/>
      <c r="CO438" s="233"/>
      <c r="CP438" s="233"/>
      <c r="CQ438" s="233"/>
      <c r="CR438" s="233"/>
      <c r="CS438" s="233"/>
      <c r="CT438" s="233"/>
      <c r="CU438" s="233"/>
      <c r="CV438" s="233"/>
      <c r="CW438" s="233"/>
      <c r="CX438" s="233"/>
      <c r="CY438" s="233"/>
      <c r="CZ438" s="233"/>
      <c r="DA438" s="233"/>
      <c r="DB438" s="233"/>
      <c r="DC438" s="233"/>
      <c r="DD438" s="233"/>
    </row>
    <row r="439" spans="43:108" x14ac:dyDescent="0.25">
      <c r="AQ439" s="233"/>
      <c r="AR439" s="233"/>
      <c r="AS439" s="233"/>
      <c r="AT439" s="233"/>
      <c r="AU439" s="233"/>
      <c r="AV439" s="233"/>
      <c r="AW439" s="233"/>
      <c r="AX439" s="233"/>
      <c r="AY439" s="233"/>
      <c r="AZ439" s="233"/>
      <c r="BA439" s="233"/>
      <c r="BB439" s="233"/>
      <c r="BC439" s="233"/>
      <c r="BD439" s="233"/>
      <c r="BE439" s="233"/>
      <c r="BF439" s="233"/>
      <c r="BG439" s="233"/>
      <c r="BH439" s="233"/>
      <c r="BI439" s="233"/>
      <c r="BJ439" s="233"/>
      <c r="BK439" s="233"/>
      <c r="BL439" s="233"/>
      <c r="BM439" s="233"/>
      <c r="BN439" s="233"/>
      <c r="BO439" s="233"/>
      <c r="BP439" s="233"/>
      <c r="BQ439" s="233"/>
      <c r="BR439" s="233"/>
      <c r="BS439" s="233"/>
      <c r="BT439" s="233"/>
      <c r="BU439" s="233"/>
      <c r="BV439" s="233"/>
      <c r="BW439" s="233"/>
      <c r="BX439" s="233"/>
      <c r="BY439" s="233"/>
      <c r="BZ439" s="233"/>
      <c r="CA439" s="233"/>
      <c r="CG439" s="243"/>
      <c r="CH439" s="243"/>
      <c r="CI439" s="243"/>
      <c r="CJ439" s="243"/>
      <c r="CK439" s="243"/>
      <c r="CL439" s="243"/>
      <c r="CM439" s="233"/>
      <c r="CN439" s="233"/>
      <c r="CO439" s="233"/>
      <c r="CP439" s="233"/>
      <c r="CQ439" s="233"/>
      <c r="CR439" s="233"/>
      <c r="CS439" s="233"/>
      <c r="CT439" s="233"/>
      <c r="CU439" s="233"/>
      <c r="CV439" s="233"/>
      <c r="CW439" s="233"/>
      <c r="CX439" s="233"/>
      <c r="CY439" s="233"/>
      <c r="CZ439" s="233"/>
      <c r="DA439" s="233"/>
      <c r="DB439" s="233"/>
      <c r="DC439" s="233"/>
      <c r="DD439" s="233"/>
    </row>
    <row r="440" spans="43:108" x14ac:dyDescent="0.25">
      <c r="AQ440" s="233"/>
      <c r="AR440" s="233"/>
      <c r="AS440" s="233"/>
      <c r="AT440" s="233"/>
      <c r="AU440" s="233"/>
      <c r="AV440" s="233"/>
      <c r="AW440" s="233"/>
      <c r="AX440" s="233"/>
      <c r="AY440" s="233"/>
      <c r="AZ440" s="233"/>
      <c r="BA440" s="233"/>
      <c r="BB440" s="233"/>
      <c r="BC440" s="233"/>
      <c r="BD440" s="233"/>
      <c r="BE440" s="233"/>
      <c r="BF440" s="233"/>
      <c r="BG440" s="233"/>
      <c r="BH440" s="233"/>
      <c r="BI440" s="233"/>
      <c r="BJ440" s="233"/>
      <c r="BK440" s="233"/>
      <c r="BL440" s="233"/>
      <c r="BM440" s="233"/>
      <c r="BN440" s="233"/>
      <c r="BO440" s="233"/>
      <c r="BP440" s="233"/>
      <c r="BQ440" s="233"/>
      <c r="BR440" s="233"/>
      <c r="BS440" s="233"/>
      <c r="BT440" s="233"/>
      <c r="BU440" s="233"/>
      <c r="BV440" s="233"/>
      <c r="BW440" s="233"/>
      <c r="BX440" s="233"/>
      <c r="BY440" s="233"/>
      <c r="BZ440" s="233"/>
      <c r="CA440" s="233"/>
      <c r="CG440" s="243"/>
      <c r="CH440" s="243"/>
      <c r="CI440" s="243"/>
      <c r="CJ440" s="243"/>
      <c r="CK440" s="243"/>
      <c r="CL440" s="243"/>
      <c r="CM440" s="233"/>
      <c r="CN440" s="233"/>
      <c r="CO440" s="233"/>
      <c r="CP440" s="233"/>
      <c r="CQ440" s="233"/>
      <c r="CR440" s="233"/>
      <c r="CS440" s="233"/>
      <c r="CT440" s="233"/>
      <c r="CU440" s="233"/>
      <c r="CV440" s="233"/>
      <c r="CW440" s="233"/>
      <c r="CX440" s="233"/>
      <c r="CY440" s="233"/>
      <c r="CZ440" s="233"/>
      <c r="DA440" s="233"/>
      <c r="DB440" s="233"/>
      <c r="DC440" s="233"/>
      <c r="DD440" s="233"/>
    </row>
    <row r="441" spans="43:108" x14ac:dyDescent="0.25">
      <c r="AQ441" s="233"/>
      <c r="AR441" s="233"/>
      <c r="AS441" s="233"/>
      <c r="AT441" s="233"/>
      <c r="AU441" s="233"/>
      <c r="AV441" s="233"/>
      <c r="AW441" s="233"/>
      <c r="AX441" s="233"/>
      <c r="AY441" s="233"/>
      <c r="AZ441" s="233"/>
      <c r="BA441" s="233"/>
      <c r="BB441" s="233"/>
      <c r="BC441" s="233"/>
      <c r="BD441" s="233"/>
      <c r="BE441" s="233"/>
      <c r="BF441" s="233"/>
      <c r="BG441" s="233"/>
      <c r="BH441" s="233"/>
      <c r="BI441" s="233"/>
      <c r="BJ441" s="233"/>
      <c r="BK441" s="233"/>
      <c r="BL441" s="233"/>
      <c r="BM441" s="233"/>
      <c r="BN441" s="233"/>
      <c r="BO441" s="233"/>
      <c r="BP441" s="233"/>
      <c r="BQ441" s="233"/>
      <c r="BR441" s="233"/>
      <c r="BS441" s="233"/>
      <c r="BT441" s="233"/>
      <c r="BU441" s="233"/>
      <c r="BV441" s="233"/>
      <c r="BW441" s="233"/>
      <c r="BX441" s="233"/>
      <c r="BY441" s="233"/>
      <c r="BZ441" s="233"/>
      <c r="CA441" s="233"/>
      <c r="CG441" s="243"/>
      <c r="CH441" s="243"/>
      <c r="CI441" s="243"/>
      <c r="CJ441" s="243"/>
      <c r="CK441" s="243"/>
      <c r="CL441" s="243"/>
      <c r="CM441" s="233"/>
      <c r="CN441" s="233"/>
      <c r="CO441" s="233"/>
      <c r="CP441" s="233"/>
      <c r="CQ441" s="233"/>
      <c r="CR441" s="233"/>
      <c r="CS441" s="233"/>
      <c r="CT441" s="233"/>
      <c r="CU441" s="233"/>
      <c r="CV441" s="233"/>
      <c r="CW441" s="233"/>
      <c r="CX441" s="233"/>
      <c r="CY441" s="233"/>
      <c r="CZ441" s="233"/>
      <c r="DA441" s="233"/>
      <c r="DB441" s="233"/>
      <c r="DC441" s="233"/>
      <c r="DD441" s="233"/>
    </row>
    <row r="442" spans="43:108" x14ac:dyDescent="0.25">
      <c r="AQ442" s="233"/>
      <c r="AR442" s="233"/>
      <c r="AS442" s="233"/>
      <c r="AT442" s="233"/>
      <c r="AU442" s="233"/>
      <c r="AV442" s="233"/>
      <c r="AW442" s="233"/>
      <c r="AX442" s="233"/>
      <c r="AY442" s="233"/>
      <c r="AZ442" s="233"/>
      <c r="BA442" s="233"/>
      <c r="BB442" s="233"/>
      <c r="BC442" s="233"/>
      <c r="BD442" s="233"/>
      <c r="BE442" s="233"/>
      <c r="BF442" s="233"/>
      <c r="BG442" s="233"/>
      <c r="BH442" s="233"/>
      <c r="BI442" s="233"/>
      <c r="BJ442" s="233"/>
      <c r="BK442" s="233"/>
      <c r="BL442" s="233"/>
      <c r="BM442" s="233"/>
      <c r="BN442" s="233"/>
      <c r="BO442" s="233"/>
      <c r="BP442" s="233"/>
      <c r="BQ442" s="233"/>
      <c r="BR442" s="233"/>
      <c r="BS442" s="233"/>
      <c r="BT442" s="233"/>
      <c r="BU442" s="233"/>
      <c r="BV442" s="233"/>
      <c r="BW442" s="233"/>
      <c r="BX442" s="233"/>
      <c r="BY442" s="233"/>
      <c r="BZ442" s="233"/>
      <c r="CA442" s="233"/>
      <c r="CG442" s="243"/>
      <c r="CH442" s="243"/>
      <c r="CI442" s="243"/>
      <c r="CJ442" s="243"/>
      <c r="CK442" s="243"/>
      <c r="CL442" s="243"/>
      <c r="CM442" s="233"/>
      <c r="CN442" s="233"/>
      <c r="CO442" s="233"/>
      <c r="CP442" s="233"/>
      <c r="CQ442" s="233"/>
      <c r="CR442" s="233"/>
      <c r="CS442" s="233"/>
      <c r="CT442" s="233"/>
      <c r="CU442" s="233"/>
      <c r="CV442" s="233"/>
      <c r="CW442" s="233"/>
      <c r="CX442" s="233"/>
      <c r="CY442" s="233"/>
      <c r="CZ442" s="233"/>
      <c r="DA442" s="233"/>
      <c r="DB442" s="233"/>
      <c r="DC442" s="233"/>
      <c r="DD442" s="233"/>
    </row>
    <row r="443" spans="43:108" ht="15" customHeight="1" x14ac:dyDescent="0.25">
      <c r="AQ443" s="233"/>
      <c r="AR443" s="233"/>
      <c r="AS443" s="233"/>
      <c r="AT443" s="233"/>
      <c r="AU443" s="233"/>
      <c r="AV443" s="233"/>
      <c r="AW443" s="233"/>
      <c r="AX443" s="233"/>
      <c r="AY443" s="233"/>
      <c r="AZ443" s="233"/>
      <c r="BA443" s="233"/>
      <c r="BB443" s="233"/>
      <c r="BC443" s="233"/>
      <c r="BD443" s="233"/>
      <c r="BE443" s="233"/>
      <c r="BF443" s="233"/>
      <c r="BG443" s="233"/>
      <c r="BH443" s="233"/>
      <c r="BI443" s="233"/>
      <c r="BJ443" s="233"/>
      <c r="BK443" s="233"/>
      <c r="BL443" s="233"/>
      <c r="BM443" s="233"/>
      <c r="BN443" s="233"/>
      <c r="BO443" s="233"/>
      <c r="BP443" s="233"/>
      <c r="BQ443" s="233"/>
      <c r="BR443" s="233"/>
      <c r="BS443" s="233"/>
      <c r="BT443" s="233"/>
      <c r="BU443" s="233"/>
      <c r="BV443" s="233"/>
      <c r="BW443" s="233"/>
      <c r="BX443" s="233"/>
      <c r="BY443" s="233"/>
      <c r="BZ443" s="233"/>
      <c r="CA443" s="233"/>
      <c r="CG443" s="243"/>
      <c r="CH443" s="243"/>
      <c r="CI443" s="243"/>
      <c r="CJ443" s="243"/>
      <c r="CK443" s="243"/>
      <c r="CL443" s="243"/>
      <c r="CM443" s="233"/>
      <c r="CN443" s="233"/>
      <c r="CO443" s="233"/>
      <c r="CP443" s="233"/>
      <c r="CQ443" s="233"/>
      <c r="CR443" s="233"/>
      <c r="CS443" s="233"/>
      <c r="CT443" s="233"/>
      <c r="CU443" s="233"/>
      <c r="CV443" s="233"/>
      <c r="CW443" s="233"/>
      <c r="CX443" s="233"/>
      <c r="CY443" s="233"/>
      <c r="CZ443" s="233"/>
      <c r="DA443" s="233"/>
      <c r="DB443" s="233"/>
      <c r="DC443" s="233"/>
      <c r="DD443" s="233"/>
    </row>
    <row r="444" spans="43:108" ht="15" customHeight="1" x14ac:dyDescent="0.25">
      <c r="AQ444" s="233"/>
      <c r="AR444" s="233"/>
      <c r="AS444" s="233"/>
      <c r="AT444" s="233"/>
      <c r="AU444" s="233"/>
      <c r="AV444" s="233"/>
      <c r="AW444" s="233"/>
      <c r="AX444" s="233"/>
      <c r="AY444" s="233"/>
      <c r="AZ444" s="233"/>
      <c r="BA444" s="233"/>
      <c r="BB444" s="233"/>
      <c r="BC444" s="233"/>
      <c r="BD444" s="233"/>
      <c r="BE444" s="233"/>
      <c r="BF444" s="233"/>
      <c r="BG444" s="233"/>
      <c r="BH444" s="233"/>
      <c r="BI444" s="233"/>
      <c r="BJ444" s="233"/>
      <c r="BK444" s="233"/>
      <c r="BL444" s="233"/>
      <c r="BM444" s="233"/>
      <c r="BN444" s="233"/>
      <c r="BO444" s="233"/>
      <c r="BP444" s="233"/>
      <c r="BQ444" s="233"/>
      <c r="BR444" s="233"/>
      <c r="BS444" s="233"/>
      <c r="BT444" s="233"/>
      <c r="BU444" s="233"/>
      <c r="BV444" s="233"/>
      <c r="BW444" s="233"/>
      <c r="BX444" s="233"/>
      <c r="BY444" s="233"/>
      <c r="BZ444" s="233"/>
      <c r="CA444" s="233"/>
      <c r="CG444" s="243"/>
      <c r="CH444" s="243"/>
      <c r="CI444" s="243"/>
      <c r="CJ444" s="243"/>
      <c r="CK444" s="243"/>
      <c r="CL444" s="243"/>
      <c r="CM444" s="233"/>
      <c r="CN444" s="233"/>
      <c r="CO444" s="233"/>
      <c r="CP444" s="233"/>
      <c r="CQ444" s="233"/>
      <c r="CR444" s="233"/>
      <c r="CS444" s="233"/>
      <c r="CT444" s="233"/>
      <c r="CU444" s="233"/>
      <c r="CV444" s="233"/>
      <c r="CW444" s="233"/>
      <c r="CX444" s="233"/>
      <c r="CY444" s="233"/>
      <c r="CZ444" s="233"/>
      <c r="DA444" s="233"/>
      <c r="DB444" s="233"/>
      <c r="DC444" s="233"/>
      <c r="DD444" s="233"/>
    </row>
    <row r="445" spans="43:108" x14ac:dyDescent="0.25">
      <c r="AQ445" s="233"/>
      <c r="AR445" s="233"/>
      <c r="AS445" s="233"/>
      <c r="AT445" s="233"/>
      <c r="AU445" s="233"/>
      <c r="AV445" s="233"/>
      <c r="AW445" s="233"/>
      <c r="AX445" s="233"/>
      <c r="AY445" s="233"/>
      <c r="AZ445" s="233"/>
      <c r="BA445" s="233"/>
      <c r="BB445" s="233"/>
      <c r="BC445" s="233"/>
      <c r="BD445" s="233"/>
      <c r="BE445" s="233"/>
      <c r="BF445" s="233"/>
      <c r="BG445" s="233"/>
      <c r="BH445" s="233"/>
      <c r="BI445" s="233"/>
      <c r="BJ445" s="233"/>
      <c r="BK445" s="233"/>
      <c r="BL445" s="233"/>
      <c r="BM445" s="233"/>
      <c r="BN445" s="233"/>
      <c r="BO445" s="233"/>
      <c r="BP445" s="233"/>
      <c r="BQ445" s="233"/>
      <c r="BR445" s="233"/>
      <c r="BS445" s="233"/>
      <c r="BT445" s="233"/>
      <c r="BU445" s="233"/>
      <c r="BV445" s="233"/>
      <c r="BW445" s="233"/>
      <c r="BX445" s="233"/>
      <c r="BY445" s="233"/>
      <c r="BZ445" s="233"/>
      <c r="CA445" s="233"/>
      <c r="CG445" s="243"/>
      <c r="CH445" s="243"/>
      <c r="CI445" s="243"/>
      <c r="CJ445" s="243"/>
      <c r="CK445" s="243"/>
      <c r="CL445" s="243"/>
      <c r="CM445" s="233"/>
      <c r="CN445" s="233"/>
      <c r="CO445" s="233"/>
      <c r="CP445" s="233"/>
      <c r="CQ445" s="233"/>
      <c r="CR445" s="233"/>
      <c r="CS445" s="233"/>
      <c r="CT445" s="233"/>
      <c r="CU445" s="233"/>
      <c r="CV445" s="233"/>
      <c r="CW445" s="233"/>
      <c r="CX445" s="233"/>
      <c r="CY445" s="233"/>
      <c r="CZ445" s="233"/>
      <c r="DA445" s="233"/>
      <c r="DB445" s="233"/>
      <c r="DC445" s="233"/>
      <c r="DD445" s="233"/>
    </row>
    <row r="446" spans="43:108" x14ac:dyDescent="0.25">
      <c r="AQ446" s="233"/>
      <c r="AR446" s="233"/>
      <c r="AS446" s="233"/>
      <c r="AT446" s="233"/>
      <c r="AU446" s="233"/>
      <c r="AV446" s="233"/>
      <c r="AW446" s="233"/>
      <c r="AX446" s="233"/>
      <c r="AY446" s="233"/>
      <c r="AZ446" s="233"/>
      <c r="BA446" s="233"/>
      <c r="BB446" s="233"/>
      <c r="BC446" s="233"/>
      <c r="BD446" s="233"/>
      <c r="BE446" s="233"/>
      <c r="BF446" s="233"/>
      <c r="BG446" s="233"/>
      <c r="BH446" s="233"/>
      <c r="BI446" s="233"/>
      <c r="BJ446" s="233"/>
      <c r="BK446" s="233"/>
      <c r="BL446" s="233"/>
      <c r="BM446" s="233"/>
      <c r="BN446" s="233"/>
      <c r="BO446" s="233"/>
      <c r="BP446" s="233"/>
      <c r="BQ446" s="233"/>
      <c r="BR446" s="233"/>
      <c r="BS446" s="233"/>
      <c r="BT446" s="233"/>
      <c r="BU446" s="233"/>
      <c r="BV446" s="233"/>
      <c r="BW446" s="233"/>
      <c r="BX446" s="233"/>
      <c r="BY446" s="233"/>
      <c r="BZ446" s="233"/>
      <c r="CA446" s="233"/>
      <c r="CG446" s="243"/>
      <c r="CH446" s="243"/>
      <c r="CI446" s="243"/>
      <c r="CJ446" s="243"/>
      <c r="CK446" s="243"/>
      <c r="CL446" s="243"/>
      <c r="CM446" s="233"/>
      <c r="CN446" s="233"/>
      <c r="CO446" s="233"/>
      <c r="CP446" s="233"/>
      <c r="CQ446" s="233"/>
      <c r="CR446" s="233"/>
      <c r="CS446" s="233"/>
      <c r="CT446" s="233"/>
      <c r="CU446" s="233"/>
      <c r="CV446" s="233"/>
      <c r="CW446" s="233"/>
      <c r="CX446" s="233"/>
      <c r="CY446" s="233"/>
      <c r="CZ446" s="233"/>
      <c r="DA446" s="233"/>
      <c r="DB446" s="233"/>
      <c r="DC446" s="233"/>
      <c r="DD446" s="233"/>
    </row>
    <row r="447" spans="43:108" x14ac:dyDescent="0.25">
      <c r="AQ447" s="233"/>
      <c r="AR447" s="233"/>
      <c r="AS447" s="233"/>
      <c r="AT447" s="233"/>
      <c r="AU447" s="233"/>
      <c r="AV447" s="233"/>
      <c r="AW447" s="233"/>
      <c r="AX447" s="233"/>
      <c r="AY447" s="233"/>
      <c r="AZ447" s="233"/>
      <c r="BA447" s="233"/>
      <c r="BB447" s="233"/>
      <c r="BC447" s="233"/>
      <c r="BD447" s="233"/>
      <c r="BE447" s="233"/>
      <c r="BF447" s="233"/>
      <c r="BG447" s="233"/>
      <c r="BH447" s="233"/>
      <c r="BI447" s="233"/>
      <c r="BJ447" s="233"/>
      <c r="BK447" s="233"/>
      <c r="BL447" s="233"/>
      <c r="BM447" s="233"/>
      <c r="BN447" s="233"/>
      <c r="BO447" s="233"/>
      <c r="BP447" s="233"/>
      <c r="BQ447" s="233"/>
      <c r="BR447" s="233"/>
      <c r="BS447" s="233"/>
      <c r="BT447" s="233"/>
      <c r="BU447" s="233"/>
      <c r="BV447" s="233"/>
      <c r="BW447" s="233"/>
      <c r="BX447" s="233"/>
      <c r="BY447" s="233"/>
      <c r="BZ447" s="233"/>
      <c r="CA447" s="233"/>
      <c r="CG447" s="243"/>
      <c r="CH447" s="243"/>
      <c r="CI447" s="243"/>
      <c r="CJ447" s="243"/>
      <c r="CK447" s="243"/>
      <c r="CL447" s="243"/>
      <c r="CM447" s="233"/>
      <c r="CN447" s="233"/>
      <c r="CO447" s="233"/>
      <c r="CP447" s="233"/>
      <c r="CQ447" s="233"/>
      <c r="CR447" s="233"/>
      <c r="CS447" s="233"/>
      <c r="CT447" s="233"/>
      <c r="CU447" s="233"/>
      <c r="CV447" s="233"/>
      <c r="CW447" s="233"/>
      <c r="CX447" s="233"/>
      <c r="CY447" s="233"/>
      <c r="CZ447" s="233"/>
      <c r="DA447" s="233"/>
      <c r="DB447" s="233"/>
      <c r="DC447" s="233"/>
      <c r="DD447" s="233"/>
    </row>
    <row r="448" spans="43:108" x14ac:dyDescent="0.25">
      <c r="AQ448" s="233"/>
      <c r="AR448" s="233"/>
      <c r="AS448" s="233"/>
      <c r="AT448" s="233"/>
      <c r="AU448" s="233"/>
      <c r="AV448" s="233"/>
      <c r="AW448" s="233"/>
      <c r="AX448" s="233"/>
      <c r="AY448" s="233"/>
      <c r="AZ448" s="233"/>
      <c r="BA448" s="233"/>
      <c r="BB448" s="233"/>
      <c r="BC448" s="233"/>
      <c r="BD448" s="233"/>
      <c r="BE448" s="233"/>
      <c r="BF448" s="233"/>
      <c r="BG448" s="233"/>
      <c r="BH448" s="233"/>
      <c r="BI448" s="233"/>
      <c r="BJ448" s="233"/>
      <c r="BK448" s="233"/>
      <c r="BL448" s="233"/>
      <c r="BM448" s="233"/>
      <c r="BN448" s="233"/>
      <c r="BO448" s="233"/>
      <c r="BP448" s="233"/>
      <c r="BQ448" s="233"/>
      <c r="BR448" s="233"/>
      <c r="BS448" s="233"/>
      <c r="BT448" s="233"/>
      <c r="BU448" s="233"/>
      <c r="BV448" s="233"/>
      <c r="BW448" s="233"/>
      <c r="BX448" s="233"/>
      <c r="BY448" s="233"/>
      <c r="BZ448" s="233"/>
      <c r="CA448" s="233"/>
      <c r="CG448" s="243"/>
      <c r="CH448" s="243"/>
      <c r="CI448" s="243"/>
      <c r="CJ448" s="243"/>
      <c r="CK448" s="243"/>
      <c r="CL448" s="243"/>
      <c r="CM448" s="233"/>
      <c r="CN448" s="233"/>
      <c r="CO448" s="233"/>
      <c r="CP448" s="233"/>
      <c r="CQ448" s="233"/>
      <c r="CR448" s="233"/>
      <c r="CS448" s="233"/>
      <c r="CT448" s="233"/>
      <c r="CU448" s="233"/>
      <c r="CV448" s="233"/>
      <c r="CW448" s="233"/>
      <c r="CX448" s="233"/>
      <c r="CY448" s="233"/>
      <c r="CZ448" s="233"/>
      <c r="DA448" s="233"/>
      <c r="DB448" s="233"/>
      <c r="DC448" s="233"/>
      <c r="DD448" s="233"/>
    </row>
    <row r="449" spans="43:108" x14ac:dyDescent="0.25">
      <c r="AQ449" s="233"/>
      <c r="AR449" s="233"/>
      <c r="AS449" s="233"/>
      <c r="AT449" s="233"/>
      <c r="AU449" s="233"/>
      <c r="AV449" s="233"/>
      <c r="AW449" s="233"/>
      <c r="AX449" s="233"/>
      <c r="AY449" s="233"/>
      <c r="AZ449" s="233"/>
      <c r="BA449" s="233"/>
      <c r="BB449" s="233"/>
      <c r="BC449" s="233"/>
      <c r="BD449" s="233"/>
      <c r="BE449" s="233"/>
      <c r="BF449" s="233"/>
      <c r="BG449" s="233"/>
      <c r="BH449" s="233"/>
      <c r="BI449" s="233"/>
      <c r="BJ449" s="233"/>
      <c r="BK449" s="233"/>
      <c r="BL449" s="233"/>
      <c r="BM449" s="233"/>
      <c r="BN449" s="233"/>
      <c r="BO449" s="233"/>
      <c r="BP449" s="233"/>
      <c r="BQ449" s="233"/>
      <c r="BR449" s="233"/>
      <c r="BS449" s="233"/>
      <c r="BT449" s="233"/>
      <c r="BU449" s="233"/>
      <c r="BV449" s="233"/>
      <c r="BW449" s="233"/>
      <c r="BX449" s="233"/>
      <c r="BY449" s="233"/>
      <c r="BZ449" s="233"/>
      <c r="CA449" s="233"/>
      <c r="CG449" s="243"/>
      <c r="CH449" s="243"/>
      <c r="CI449" s="243"/>
      <c r="CJ449" s="243"/>
      <c r="CK449" s="243"/>
      <c r="CL449" s="243"/>
      <c r="CM449" s="233"/>
      <c r="CN449" s="233"/>
      <c r="CO449" s="233"/>
      <c r="CP449" s="233"/>
      <c r="CQ449" s="233"/>
      <c r="CR449" s="233"/>
      <c r="CS449" s="233"/>
      <c r="CT449" s="233"/>
      <c r="CU449" s="233"/>
      <c r="CV449" s="233"/>
      <c r="CW449" s="233"/>
      <c r="CX449" s="233"/>
      <c r="CY449" s="233"/>
      <c r="CZ449" s="233"/>
      <c r="DA449" s="233"/>
      <c r="DB449" s="233"/>
      <c r="DC449" s="233"/>
      <c r="DD449" s="233"/>
    </row>
    <row r="450" spans="43:108" x14ac:dyDescent="0.25">
      <c r="AQ450" s="233"/>
      <c r="AR450" s="233"/>
      <c r="AS450" s="233"/>
      <c r="AT450" s="233"/>
      <c r="AU450" s="233"/>
      <c r="AV450" s="233"/>
      <c r="AW450" s="233"/>
      <c r="AX450" s="233"/>
      <c r="AY450" s="233"/>
      <c r="AZ450" s="233"/>
      <c r="BA450" s="233"/>
      <c r="BB450" s="233"/>
      <c r="BC450" s="233"/>
      <c r="BD450" s="233"/>
      <c r="BE450" s="233"/>
      <c r="BF450" s="233"/>
      <c r="BG450" s="233"/>
      <c r="BH450" s="233"/>
      <c r="BI450" s="233"/>
      <c r="BJ450" s="233"/>
      <c r="BK450" s="233"/>
      <c r="BL450" s="233"/>
      <c r="BM450" s="233"/>
      <c r="BN450" s="233"/>
      <c r="BO450" s="233"/>
      <c r="BP450" s="233"/>
      <c r="BQ450" s="233"/>
      <c r="BR450" s="233"/>
      <c r="BS450" s="233"/>
      <c r="BT450" s="233"/>
      <c r="BU450" s="233"/>
      <c r="BV450" s="233"/>
      <c r="BW450" s="233"/>
      <c r="BX450" s="233"/>
      <c r="BY450" s="233"/>
      <c r="BZ450" s="233"/>
      <c r="CA450" s="233"/>
      <c r="CG450" s="243"/>
      <c r="CH450" s="243"/>
      <c r="CI450" s="243"/>
      <c r="CJ450" s="243"/>
      <c r="CK450" s="243"/>
      <c r="CL450" s="243"/>
      <c r="CM450" s="233"/>
      <c r="CN450" s="233"/>
      <c r="CO450" s="233"/>
      <c r="CP450" s="233"/>
      <c r="CQ450" s="233"/>
      <c r="CR450" s="233"/>
      <c r="CS450" s="233"/>
      <c r="CT450" s="233"/>
      <c r="CU450" s="233"/>
      <c r="CV450" s="233"/>
      <c r="CW450" s="233"/>
      <c r="CX450" s="233"/>
      <c r="CY450" s="233"/>
      <c r="CZ450" s="233"/>
      <c r="DA450" s="233"/>
      <c r="DB450" s="233"/>
      <c r="DC450" s="233"/>
      <c r="DD450" s="233"/>
    </row>
    <row r="451" spans="43:108" x14ac:dyDescent="0.25">
      <c r="AQ451" s="233"/>
      <c r="AR451" s="233"/>
      <c r="AS451" s="233"/>
      <c r="AT451" s="233"/>
      <c r="AU451" s="233"/>
      <c r="AV451" s="233"/>
      <c r="AW451" s="233"/>
      <c r="AX451" s="233"/>
      <c r="AY451" s="233"/>
      <c r="AZ451" s="233"/>
      <c r="BA451" s="233"/>
      <c r="BB451" s="233"/>
      <c r="BC451" s="233"/>
      <c r="BD451" s="233"/>
      <c r="BE451" s="233"/>
      <c r="BF451" s="233"/>
      <c r="BG451" s="233"/>
      <c r="BH451" s="233"/>
      <c r="BI451" s="233"/>
      <c r="BJ451" s="233"/>
      <c r="BK451" s="233"/>
      <c r="BL451" s="233"/>
      <c r="BM451" s="233"/>
      <c r="BN451" s="233"/>
      <c r="BO451" s="233"/>
      <c r="BP451" s="233"/>
      <c r="BQ451" s="233"/>
      <c r="BR451" s="233"/>
      <c r="BS451" s="233"/>
      <c r="BT451" s="233"/>
      <c r="BU451" s="233"/>
      <c r="BV451" s="233"/>
      <c r="BW451" s="233"/>
      <c r="BX451" s="233"/>
      <c r="BY451" s="233"/>
      <c r="BZ451" s="233"/>
      <c r="CA451" s="233"/>
      <c r="CG451" s="243"/>
      <c r="CH451" s="243"/>
      <c r="CI451" s="243"/>
      <c r="CJ451" s="243"/>
      <c r="CK451" s="243"/>
      <c r="CL451" s="243"/>
      <c r="CM451" s="233"/>
      <c r="CN451" s="233"/>
      <c r="CO451" s="233"/>
      <c r="CP451" s="233"/>
      <c r="CQ451" s="233"/>
      <c r="CR451" s="233"/>
      <c r="CS451" s="233"/>
      <c r="CT451" s="233"/>
      <c r="CU451" s="233"/>
      <c r="CV451" s="233"/>
      <c r="CW451" s="233"/>
      <c r="CX451" s="233"/>
      <c r="CY451" s="233"/>
      <c r="CZ451" s="233"/>
      <c r="DA451" s="233"/>
      <c r="DB451" s="233"/>
      <c r="DC451" s="233"/>
      <c r="DD451" s="233"/>
    </row>
    <row r="452" spans="43:108" x14ac:dyDescent="0.25">
      <c r="AQ452" s="233"/>
      <c r="AR452" s="233"/>
      <c r="AS452" s="233"/>
      <c r="AT452" s="233"/>
      <c r="AU452" s="233"/>
      <c r="AV452" s="233"/>
      <c r="AW452" s="233"/>
      <c r="AX452" s="233"/>
      <c r="AY452" s="233"/>
      <c r="AZ452" s="233"/>
      <c r="BA452" s="233"/>
      <c r="BB452" s="233"/>
      <c r="BC452" s="233"/>
      <c r="BD452" s="233"/>
      <c r="BE452" s="233"/>
      <c r="BF452" s="233"/>
      <c r="BG452" s="233"/>
      <c r="BH452" s="233"/>
      <c r="BI452" s="233"/>
      <c r="BJ452" s="233"/>
      <c r="BK452" s="233"/>
      <c r="BL452" s="233"/>
      <c r="BM452" s="233"/>
      <c r="BN452" s="233"/>
      <c r="BO452" s="233"/>
      <c r="BP452" s="233"/>
      <c r="BQ452" s="233"/>
      <c r="BR452" s="233"/>
      <c r="BS452" s="233"/>
      <c r="BT452" s="233"/>
      <c r="BU452" s="233"/>
      <c r="BV452" s="233"/>
      <c r="BW452" s="233"/>
      <c r="BX452" s="233"/>
      <c r="BY452" s="233"/>
      <c r="BZ452" s="233"/>
      <c r="CA452" s="233"/>
      <c r="CG452" s="243"/>
      <c r="CH452" s="243"/>
      <c r="CI452" s="243"/>
      <c r="CJ452" s="243"/>
      <c r="CK452" s="243"/>
      <c r="CL452" s="243"/>
      <c r="CM452" s="233"/>
      <c r="CN452" s="233"/>
      <c r="CO452" s="233"/>
      <c r="CP452" s="233"/>
      <c r="CQ452" s="233"/>
      <c r="CR452" s="233"/>
      <c r="CS452" s="233"/>
      <c r="CT452" s="233"/>
      <c r="CU452" s="233"/>
      <c r="CV452" s="233"/>
      <c r="CW452" s="233"/>
      <c r="CX452" s="233"/>
      <c r="CY452" s="233"/>
      <c r="CZ452" s="233"/>
      <c r="DA452" s="233"/>
      <c r="DB452" s="233"/>
      <c r="DC452" s="233"/>
      <c r="DD452" s="233"/>
    </row>
    <row r="453" spans="43:108" ht="15" customHeight="1" x14ac:dyDescent="0.25">
      <c r="AQ453" s="233"/>
      <c r="AR453" s="233"/>
      <c r="AS453" s="233"/>
      <c r="AT453" s="233"/>
      <c r="AU453" s="233"/>
      <c r="AV453" s="233"/>
      <c r="AW453" s="233"/>
      <c r="AX453" s="233"/>
      <c r="AY453" s="233"/>
      <c r="AZ453" s="233"/>
      <c r="BA453" s="233"/>
      <c r="BB453" s="233"/>
      <c r="BC453" s="233"/>
      <c r="BD453" s="233"/>
      <c r="BE453" s="233"/>
      <c r="BF453" s="233"/>
      <c r="BG453" s="233"/>
      <c r="BH453" s="233"/>
      <c r="BI453" s="233"/>
      <c r="BJ453" s="233"/>
      <c r="BK453" s="233"/>
      <c r="BL453" s="233"/>
      <c r="BM453" s="233"/>
      <c r="BN453" s="233"/>
      <c r="BO453" s="233"/>
      <c r="BP453" s="233"/>
      <c r="BQ453" s="233"/>
      <c r="BR453" s="233"/>
      <c r="BS453" s="233"/>
      <c r="BT453" s="233"/>
      <c r="BU453" s="233"/>
      <c r="BV453" s="233"/>
      <c r="BW453" s="233"/>
      <c r="BX453" s="233"/>
      <c r="BY453" s="233"/>
      <c r="BZ453" s="233"/>
      <c r="CA453" s="233"/>
      <c r="CG453" s="243"/>
      <c r="CH453" s="243"/>
      <c r="CI453" s="243"/>
      <c r="CJ453" s="243"/>
      <c r="CK453" s="243"/>
      <c r="CL453" s="243"/>
      <c r="CM453" s="233"/>
      <c r="CN453" s="233"/>
      <c r="CO453" s="233"/>
      <c r="CP453" s="233"/>
      <c r="CQ453" s="233"/>
      <c r="CR453" s="233"/>
      <c r="CS453" s="233"/>
      <c r="CT453" s="233"/>
      <c r="CU453" s="233"/>
      <c r="CV453" s="233"/>
      <c r="CW453" s="233"/>
      <c r="CX453" s="233"/>
      <c r="CY453" s="233"/>
      <c r="CZ453" s="233"/>
      <c r="DA453" s="233"/>
      <c r="DB453" s="233"/>
      <c r="DC453" s="233"/>
      <c r="DD453" s="233"/>
    </row>
    <row r="454" spans="43:108" x14ac:dyDescent="0.25">
      <c r="AQ454" s="233"/>
      <c r="AR454" s="233"/>
      <c r="AS454" s="233"/>
      <c r="AT454" s="233"/>
      <c r="AU454" s="233"/>
      <c r="AV454" s="233"/>
      <c r="AW454" s="233"/>
      <c r="AX454" s="233"/>
      <c r="AY454" s="233"/>
      <c r="AZ454" s="233"/>
      <c r="BA454" s="233"/>
      <c r="BB454" s="233"/>
      <c r="BC454" s="233"/>
      <c r="BD454" s="233"/>
      <c r="BE454" s="233"/>
      <c r="BF454" s="233"/>
      <c r="BG454" s="233"/>
      <c r="BH454" s="233"/>
      <c r="BI454" s="233"/>
      <c r="BJ454" s="233"/>
      <c r="BK454" s="233"/>
      <c r="BL454" s="233"/>
      <c r="BM454" s="233"/>
      <c r="BN454" s="233"/>
      <c r="BO454" s="233"/>
      <c r="BP454" s="233"/>
      <c r="BQ454" s="233"/>
      <c r="BR454" s="233"/>
      <c r="BS454" s="233"/>
      <c r="BT454" s="233"/>
      <c r="BU454" s="233"/>
      <c r="BV454" s="233"/>
      <c r="BW454" s="233"/>
      <c r="BX454" s="233"/>
      <c r="BY454" s="233"/>
      <c r="BZ454" s="233"/>
      <c r="CA454" s="233"/>
      <c r="CG454" s="243"/>
      <c r="CH454" s="243"/>
      <c r="CI454" s="243"/>
      <c r="CJ454" s="243"/>
      <c r="CK454" s="243"/>
      <c r="CL454" s="243"/>
      <c r="CM454" s="233"/>
      <c r="CN454" s="233"/>
      <c r="CO454" s="233"/>
      <c r="CP454" s="233"/>
      <c r="CQ454" s="233"/>
      <c r="CR454" s="233"/>
      <c r="CS454" s="233"/>
      <c r="CT454" s="233"/>
      <c r="CU454" s="233"/>
      <c r="CV454" s="233"/>
      <c r="CW454" s="233"/>
      <c r="CX454" s="233"/>
      <c r="CY454" s="233"/>
      <c r="CZ454" s="233"/>
      <c r="DA454" s="233"/>
      <c r="DB454" s="233"/>
      <c r="DC454" s="233"/>
      <c r="DD454" s="233"/>
    </row>
    <row r="455" spans="43:108" x14ac:dyDescent="0.25">
      <c r="AQ455" s="233"/>
      <c r="AR455" s="233"/>
      <c r="AS455" s="233"/>
      <c r="AT455" s="233"/>
      <c r="AU455" s="233"/>
      <c r="AV455" s="233"/>
      <c r="AW455" s="233"/>
      <c r="AX455" s="233"/>
      <c r="AY455" s="233"/>
      <c r="AZ455" s="233"/>
      <c r="BA455" s="233"/>
      <c r="BB455" s="233"/>
      <c r="BC455" s="233"/>
      <c r="BD455" s="233"/>
      <c r="BE455" s="233"/>
      <c r="BF455" s="233"/>
      <c r="BG455" s="233"/>
      <c r="BH455" s="233"/>
      <c r="BI455" s="233"/>
      <c r="BJ455" s="233"/>
      <c r="BK455" s="233"/>
      <c r="BL455" s="233"/>
      <c r="BM455" s="233"/>
      <c r="BN455" s="233"/>
      <c r="BO455" s="233"/>
      <c r="BP455" s="233"/>
      <c r="BQ455" s="233"/>
      <c r="BR455" s="233"/>
      <c r="BS455" s="233"/>
      <c r="BT455" s="233"/>
      <c r="BU455" s="233"/>
      <c r="BV455" s="233"/>
      <c r="BW455" s="233"/>
      <c r="BX455" s="233"/>
      <c r="BY455" s="233"/>
      <c r="BZ455" s="233"/>
      <c r="CA455" s="233"/>
      <c r="CG455" s="243"/>
      <c r="CH455" s="243"/>
      <c r="CI455" s="243"/>
      <c r="CJ455" s="243"/>
      <c r="CK455" s="243"/>
      <c r="CL455" s="243"/>
      <c r="CM455" s="233"/>
      <c r="CN455" s="233"/>
      <c r="CO455" s="233"/>
      <c r="CP455" s="233"/>
      <c r="CQ455" s="233"/>
      <c r="CR455" s="233"/>
      <c r="CS455" s="233"/>
      <c r="CT455" s="233"/>
      <c r="CU455" s="233"/>
      <c r="CV455" s="233"/>
      <c r="CW455" s="233"/>
      <c r="CX455" s="233"/>
      <c r="CY455" s="233"/>
      <c r="CZ455" s="233"/>
      <c r="DA455" s="233"/>
      <c r="DB455" s="233"/>
      <c r="DC455" s="233"/>
      <c r="DD455" s="233"/>
    </row>
    <row r="456" spans="43:108" x14ac:dyDescent="0.25">
      <c r="AQ456" s="233"/>
      <c r="AR456" s="233"/>
      <c r="AS456" s="233"/>
      <c r="AT456" s="233"/>
      <c r="AU456" s="233"/>
      <c r="AV456" s="233"/>
      <c r="AW456" s="233"/>
      <c r="AX456" s="233"/>
      <c r="AY456" s="233"/>
      <c r="AZ456" s="233"/>
      <c r="BA456" s="233"/>
      <c r="BB456" s="233"/>
      <c r="BC456" s="233"/>
      <c r="BD456" s="233"/>
      <c r="BE456" s="233"/>
      <c r="BF456" s="233"/>
      <c r="BG456" s="233"/>
      <c r="BH456" s="233"/>
      <c r="BI456" s="233"/>
      <c r="BJ456" s="233"/>
      <c r="BK456" s="233"/>
      <c r="BL456" s="233"/>
      <c r="BM456" s="233"/>
      <c r="BN456" s="233"/>
      <c r="BO456" s="233"/>
      <c r="BP456" s="233"/>
      <c r="BQ456" s="233"/>
      <c r="BR456" s="233"/>
      <c r="BS456" s="233"/>
      <c r="BT456" s="233"/>
      <c r="BU456" s="233"/>
      <c r="BV456" s="233"/>
      <c r="BW456" s="233"/>
      <c r="BX456" s="233"/>
      <c r="BY456" s="233"/>
      <c r="BZ456" s="233"/>
      <c r="CA456" s="233"/>
      <c r="CM456" s="233"/>
      <c r="CN456" s="233"/>
      <c r="CO456" s="233"/>
      <c r="CP456" s="233"/>
      <c r="CQ456" s="233"/>
      <c r="CR456" s="233"/>
      <c r="CS456" s="233"/>
      <c r="CT456" s="233"/>
      <c r="CU456" s="233"/>
      <c r="CV456" s="233"/>
      <c r="CW456" s="233"/>
      <c r="CX456" s="233"/>
      <c r="CY456" s="233"/>
      <c r="CZ456" s="233"/>
      <c r="DA456" s="233"/>
      <c r="DB456" s="233"/>
      <c r="DC456" s="233"/>
      <c r="DD456" s="233"/>
    </row>
    <row r="457" spans="43:108" x14ac:dyDescent="0.25">
      <c r="AQ457" s="233"/>
      <c r="AR457" s="233"/>
      <c r="AS457" s="233"/>
      <c r="AT457" s="233"/>
      <c r="AU457" s="233"/>
      <c r="AV457" s="233"/>
      <c r="AW457" s="233"/>
      <c r="AX457" s="233"/>
      <c r="AY457" s="233"/>
      <c r="AZ457" s="233"/>
      <c r="BA457" s="233"/>
      <c r="BB457" s="233"/>
      <c r="BC457" s="233"/>
      <c r="BD457" s="233"/>
      <c r="BE457" s="233"/>
      <c r="BF457" s="233"/>
      <c r="BG457" s="233"/>
      <c r="BH457" s="233"/>
      <c r="BI457" s="233"/>
      <c r="BJ457" s="233"/>
      <c r="BK457" s="233"/>
      <c r="BL457" s="233"/>
      <c r="BM457" s="233"/>
      <c r="BN457" s="233"/>
      <c r="BO457" s="233"/>
      <c r="BP457" s="233"/>
      <c r="BQ457" s="233"/>
      <c r="BR457" s="233"/>
      <c r="BS457" s="233"/>
      <c r="BT457" s="233"/>
      <c r="BU457" s="233"/>
      <c r="BV457" s="233"/>
      <c r="BW457" s="233"/>
      <c r="BX457" s="233"/>
      <c r="BY457" s="233"/>
      <c r="BZ457" s="233"/>
      <c r="CA457" s="233"/>
      <c r="CM457" s="233"/>
      <c r="CN457" s="233"/>
      <c r="CO457" s="233"/>
      <c r="CP457" s="233"/>
      <c r="CQ457" s="233"/>
      <c r="CR457" s="233"/>
      <c r="CS457" s="233"/>
      <c r="CT457" s="233"/>
      <c r="CU457" s="233"/>
      <c r="CV457" s="233"/>
      <c r="CW457" s="233"/>
      <c r="CX457" s="233"/>
      <c r="CY457" s="233"/>
      <c r="CZ457" s="233"/>
      <c r="DA457" s="233"/>
      <c r="DB457" s="233"/>
      <c r="DC457" s="233"/>
      <c r="DD457" s="233"/>
    </row>
    <row r="458" spans="43:108" x14ac:dyDescent="0.25">
      <c r="AQ458" s="233"/>
      <c r="AR458" s="233"/>
      <c r="AS458" s="233"/>
      <c r="AT458" s="233"/>
      <c r="AU458" s="233"/>
      <c r="AV458" s="233"/>
      <c r="AW458" s="233"/>
      <c r="AX458" s="233"/>
      <c r="AY458" s="233"/>
      <c r="AZ458" s="233"/>
      <c r="BA458" s="233"/>
      <c r="BB458" s="233"/>
      <c r="BC458" s="233"/>
      <c r="BD458" s="233"/>
      <c r="BE458" s="233"/>
      <c r="BF458" s="233"/>
      <c r="BG458" s="233"/>
      <c r="BH458" s="233"/>
      <c r="BI458" s="233"/>
      <c r="BJ458" s="233"/>
      <c r="BK458" s="233"/>
      <c r="BL458" s="233"/>
      <c r="BM458" s="233"/>
      <c r="BN458" s="233"/>
      <c r="BO458" s="233"/>
      <c r="BP458" s="233"/>
      <c r="BQ458" s="233"/>
      <c r="BR458" s="233"/>
      <c r="BS458" s="233"/>
      <c r="BT458" s="233"/>
      <c r="BU458" s="233"/>
      <c r="BV458" s="233"/>
      <c r="BW458" s="233"/>
      <c r="BX458" s="233"/>
      <c r="BY458" s="233"/>
      <c r="BZ458" s="233"/>
      <c r="CA458" s="233"/>
      <c r="CM458" s="233"/>
      <c r="CN458" s="233"/>
      <c r="CO458" s="233"/>
      <c r="CP458" s="233"/>
      <c r="CQ458" s="233"/>
      <c r="CR458" s="233"/>
      <c r="CS458" s="233"/>
      <c r="CT458" s="233"/>
      <c r="CU458" s="233"/>
      <c r="CV458" s="233"/>
      <c r="CW458" s="233"/>
      <c r="CX458" s="233"/>
      <c r="CY458" s="233"/>
      <c r="CZ458" s="233"/>
      <c r="DA458" s="233"/>
      <c r="DB458" s="233"/>
      <c r="DC458" s="233"/>
      <c r="DD458" s="233"/>
    </row>
    <row r="459" spans="43:108" x14ac:dyDescent="0.25">
      <c r="AQ459" s="233"/>
      <c r="AR459" s="233"/>
      <c r="AS459" s="233"/>
      <c r="AT459" s="233"/>
      <c r="AU459" s="233"/>
      <c r="AV459" s="233"/>
      <c r="AW459" s="233"/>
      <c r="AX459" s="233"/>
      <c r="AY459" s="233"/>
      <c r="AZ459" s="233"/>
      <c r="BA459" s="233"/>
      <c r="BB459" s="233"/>
      <c r="BC459" s="233"/>
      <c r="BD459" s="233"/>
      <c r="BE459" s="233"/>
      <c r="BF459" s="233"/>
      <c r="BG459" s="233"/>
      <c r="BH459" s="233"/>
      <c r="BI459" s="233"/>
      <c r="BJ459" s="233"/>
      <c r="BK459" s="233"/>
      <c r="BL459" s="233"/>
      <c r="BM459" s="233"/>
      <c r="BN459" s="233"/>
      <c r="BO459" s="233"/>
      <c r="BP459" s="233"/>
      <c r="BQ459" s="233"/>
      <c r="BR459" s="233"/>
      <c r="BS459" s="233"/>
      <c r="BT459" s="233"/>
      <c r="BU459" s="233"/>
      <c r="BV459" s="233"/>
      <c r="BW459" s="233"/>
      <c r="BX459" s="233"/>
      <c r="BY459" s="233"/>
      <c r="BZ459" s="233"/>
      <c r="CA459" s="233"/>
      <c r="CM459" s="233"/>
      <c r="CN459" s="233"/>
      <c r="CO459" s="233"/>
      <c r="CP459" s="233"/>
      <c r="CQ459" s="233"/>
      <c r="CR459" s="233"/>
      <c r="CS459" s="233"/>
      <c r="CT459" s="233"/>
      <c r="CU459" s="233"/>
      <c r="CV459" s="233"/>
      <c r="CW459" s="233"/>
      <c r="CX459" s="233"/>
      <c r="CY459" s="233"/>
      <c r="CZ459" s="233"/>
      <c r="DA459" s="233"/>
      <c r="DB459" s="233"/>
      <c r="DC459" s="233"/>
      <c r="DD459" s="233"/>
    </row>
    <row r="460" spans="43:108" x14ac:dyDescent="0.25">
      <c r="AQ460" s="233"/>
      <c r="AR460" s="233"/>
      <c r="AS460" s="233"/>
      <c r="AT460" s="233"/>
      <c r="AU460" s="233"/>
      <c r="AV460" s="233"/>
      <c r="AW460" s="233"/>
      <c r="AX460" s="233"/>
      <c r="AY460" s="233"/>
      <c r="AZ460" s="233"/>
      <c r="BA460" s="233"/>
      <c r="BB460" s="233"/>
      <c r="BC460" s="233"/>
      <c r="BD460" s="233"/>
      <c r="BE460" s="233"/>
      <c r="BF460" s="233"/>
      <c r="BG460" s="233"/>
      <c r="BH460" s="233"/>
      <c r="BI460" s="233"/>
      <c r="BJ460" s="233"/>
      <c r="BK460" s="233"/>
      <c r="BL460" s="233"/>
      <c r="BM460" s="233"/>
      <c r="BN460" s="233"/>
      <c r="BO460" s="233"/>
      <c r="BP460" s="233"/>
      <c r="BQ460" s="233"/>
      <c r="BR460" s="233"/>
      <c r="BS460" s="233"/>
      <c r="BT460" s="233"/>
      <c r="BU460" s="233"/>
      <c r="BV460" s="233"/>
      <c r="BW460" s="233"/>
      <c r="BX460" s="233"/>
      <c r="BY460" s="233"/>
      <c r="BZ460" s="233"/>
      <c r="CA460" s="233"/>
      <c r="CM460" s="233"/>
      <c r="CN460" s="233"/>
      <c r="CO460" s="233"/>
      <c r="CP460" s="233"/>
      <c r="CQ460" s="233"/>
      <c r="CR460" s="233"/>
      <c r="CS460" s="233"/>
      <c r="CT460" s="233"/>
      <c r="CU460" s="233"/>
      <c r="CV460" s="233"/>
      <c r="CW460" s="233"/>
      <c r="CX460" s="233"/>
      <c r="CY460" s="233"/>
      <c r="CZ460" s="233"/>
      <c r="DA460" s="233"/>
      <c r="DB460" s="233"/>
      <c r="DC460" s="233"/>
      <c r="DD460" s="233"/>
    </row>
    <row r="461" spans="43:108" x14ac:dyDescent="0.25">
      <c r="AQ461" s="233"/>
      <c r="AR461" s="233"/>
      <c r="AS461" s="233"/>
      <c r="AT461" s="233"/>
      <c r="AU461" s="233"/>
      <c r="AV461" s="233"/>
      <c r="AW461" s="233"/>
      <c r="AX461" s="233"/>
      <c r="AY461" s="233"/>
      <c r="AZ461" s="233"/>
      <c r="BA461" s="233"/>
      <c r="BB461" s="233"/>
      <c r="BC461" s="233"/>
      <c r="BD461" s="233"/>
      <c r="BE461" s="233"/>
      <c r="BF461" s="233"/>
      <c r="BG461" s="233"/>
      <c r="BH461" s="233"/>
      <c r="BI461" s="233"/>
      <c r="BJ461" s="233"/>
      <c r="BK461" s="233"/>
      <c r="BL461" s="233"/>
      <c r="BM461" s="233"/>
      <c r="BN461" s="233"/>
      <c r="BO461" s="233"/>
      <c r="BP461" s="233"/>
      <c r="BQ461" s="233"/>
      <c r="BR461" s="233"/>
      <c r="BS461" s="233"/>
      <c r="BT461" s="233"/>
      <c r="BU461" s="233"/>
      <c r="BV461" s="233"/>
      <c r="BW461" s="233"/>
      <c r="BX461" s="233"/>
      <c r="BY461" s="233"/>
      <c r="BZ461" s="233"/>
      <c r="CA461" s="233"/>
      <c r="CM461" s="233"/>
      <c r="CN461" s="233"/>
      <c r="CO461" s="233"/>
      <c r="CP461" s="233"/>
      <c r="CQ461" s="233"/>
      <c r="CR461" s="233"/>
      <c r="CS461" s="233"/>
      <c r="CT461" s="233"/>
      <c r="CU461" s="233"/>
      <c r="CV461" s="233"/>
      <c r="CW461" s="233"/>
      <c r="CX461" s="233"/>
      <c r="CY461" s="233"/>
      <c r="CZ461" s="233"/>
      <c r="DA461" s="233"/>
      <c r="DB461" s="233"/>
      <c r="DC461" s="233"/>
      <c r="DD461" s="233"/>
    </row>
    <row r="462" spans="43:108" x14ac:dyDescent="0.25">
      <c r="AQ462" s="233"/>
      <c r="AR462" s="233"/>
      <c r="AS462" s="233"/>
      <c r="AT462" s="233"/>
      <c r="AU462" s="233"/>
      <c r="AV462" s="233"/>
      <c r="AW462" s="233"/>
      <c r="AX462" s="233"/>
      <c r="AY462" s="233"/>
      <c r="AZ462" s="233"/>
      <c r="BA462" s="233"/>
      <c r="BB462" s="233"/>
      <c r="BC462" s="233"/>
      <c r="BD462" s="233"/>
      <c r="BE462" s="233"/>
      <c r="BF462" s="233"/>
      <c r="BG462" s="233"/>
      <c r="BH462" s="233"/>
      <c r="BI462" s="233"/>
      <c r="BJ462" s="233"/>
      <c r="BK462" s="233"/>
      <c r="BL462" s="233"/>
      <c r="BM462" s="233"/>
      <c r="BN462" s="233"/>
      <c r="BO462" s="233"/>
      <c r="BP462" s="233"/>
      <c r="BQ462" s="233"/>
      <c r="BR462" s="233"/>
      <c r="BS462" s="233"/>
      <c r="BT462" s="233"/>
      <c r="BU462" s="233"/>
      <c r="BV462" s="233"/>
      <c r="BW462" s="233"/>
      <c r="BX462" s="233"/>
      <c r="BY462" s="233"/>
      <c r="BZ462" s="233"/>
      <c r="CA462" s="233"/>
      <c r="CM462" s="233"/>
      <c r="CN462" s="233"/>
      <c r="CO462" s="233"/>
      <c r="CP462" s="233"/>
      <c r="CQ462" s="233"/>
      <c r="CR462" s="233"/>
      <c r="CS462" s="233"/>
      <c r="CT462" s="233"/>
      <c r="CU462" s="233"/>
      <c r="CV462" s="233"/>
      <c r="CW462" s="233"/>
      <c r="CX462" s="233"/>
      <c r="CY462" s="233"/>
      <c r="CZ462" s="233"/>
      <c r="DA462" s="233"/>
      <c r="DB462" s="233"/>
      <c r="DC462" s="233"/>
      <c r="DD462" s="233"/>
    </row>
    <row r="463" spans="43:108" x14ac:dyDescent="0.25">
      <c r="AQ463" s="233"/>
      <c r="AR463" s="233"/>
      <c r="AS463" s="233"/>
      <c r="AT463" s="233"/>
      <c r="AU463" s="233"/>
      <c r="AV463" s="233"/>
      <c r="AW463" s="233"/>
      <c r="AX463" s="233"/>
      <c r="AY463" s="233"/>
      <c r="AZ463" s="233"/>
      <c r="BA463" s="233"/>
      <c r="BB463" s="233"/>
      <c r="BC463" s="233"/>
      <c r="BD463" s="233"/>
      <c r="BE463" s="233"/>
      <c r="BF463" s="233"/>
      <c r="BG463" s="233"/>
      <c r="BH463" s="233"/>
      <c r="BI463" s="233"/>
      <c r="BJ463" s="233"/>
      <c r="BK463" s="233"/>
      <c r="BL463" s="233"/>
      <c r="BM463" s="233"/>
      <c r="BN463" s="233"/>
      <c r="BO463" s="233"/>
      <c r="BP463" s="233"/>
      <c r="BQ463" s="233"/>
      <c r="BR463" s="233"/>
      <c r="BS463" s="233"/>
      <c r="BT463" s="233"/>
      <c r="BU463" s="233"/>
      <c r="BV463" s="233"/>
      <c r="BW463" s="233"/>
      <c r="BX463" s="233"/>
      <c r="BY463" s="233"/>
      <c r="BZ463" s="233"/>
      <c r="CA463" s="233"/>
      <c r="CM463" s="233"/>
      <c r="CN463" s="233"/>
      <c r="CO463" s="233"/>
      <c r="CP463" s="233"/>
      <c r="CQ463" s="233"/>
      <c r="CR463" s="233"/>
      <c r="CS463" s="233"/>
      <c r="CT463" s="233"/>
      <c r="CU463" s="233"/>
      <c r="CV463" s="233"/>
      <c r="CW463" s="233"/>
      <c r="CX463" s="233"/>
      <c r="CY463" s="233"/>
      <c r="CZ463" s="233"/>
      <c r="DA463" s="233"/>
      <c r="DB463" s="233"/>
      <c r="DC463" s="233"/>
      <c r="DD463" s="233"/>
    </row>
    <row r="464" spans="43:108" x14ac:dyDescent="0.25">
      <c r="AQ464" s="233"/>
      <c r="AR464" s="233"/>
      <c r="AS464" s="233"/>
      <c r="AT464" s="233"/>
      <c r="AU464" s="233"/>
      <c r="AV464" s="233"/>
      <c r="AW464" s="233"/>
      <c r="AX464" s="233"/>
      <c r="AY464" s="233"/>
      <c r="AZ464" s="233"/>
      <c r="BA464" s="233"/>
      <c r="BB464" s="233"/>
      <c r="BC464" s="233"/>
      <c r="BD464" s="233"/>
      <c r="BE464" s="233"/>
      <c r="BF464" s="233"/>
      <c r="BG464" s="233"/>
      <c r="BH464" s="233"/>
      <c r="BI464" s="233"/>
      <c r="BJ464" s="233"/>
      <c r="BK464" s="233"/>
      <c r="BL464" s="233"/>
      <c r="BM464" s="233"/>
      <c r="BN464" s="233"/>
      <c r="BO464" s="233"/>
      <c r="BP464" s="233"/>
      <c r="BQ464" s="233"/>
      <c r="BR464" s="233"/>
      <c r="BS464" s="233"/>
      <c r="BT464" s="233"/>
      <c r="BU464" s="233"/>
      <c r="BV464" s="233"/>
      <c r="BW464" s="233"/>
      <c r="BX464" s="233"/>
      <c r="BY464" s="233"/>
      <c r="BZ464" s="233"/>
      <c r="CA464" s="233"/>
      <c r="CM464" s="233"/>
      <c r="CN464" s="233"/>
      <c r="CO464" s="233"/>
      <c r="CP464" s="233"/>
      <c r="CQ464" s="233"/>
      <c r="CR464" s="233"/>
      <c r="CS464" s="233"/>
      <c r="CT464" s="233"/>
      <c r="CU464" s="233"/>
      <c r="CV464" s="233"/>
      <c r="CW464" s="233"/>
      <c r="CX464" s="233"/>
      <c r="CY464" s="233"/>
      <c r="CZ464" s="233"/>
      <c r="DA464" s="233"/>
      <c r="DB464" s="233"/>
      <c r="DC464" s="233"/>
      <c r="DD464" s="233"/>
    </row>
    <row r="465" spans="43:108" x14ac:dyDescent="0.25">
      <c r="AQ465" s="233"/>
      <c r="AR465" s="233"/>
      <c r="AS465" s="233"/>
      <c r="AT465" s="233"/>
      <c r="AU465" s="233"/>
      <c r="AV465" s="233"/>
      <c r="AW465" s="233"/>
      <c r="AX465" s="233"/>
      <c r="AY465" s="233"/>
      <c r="AZ465" s="233"/>
      <c r="BA465" s="233"/>
      <c r="BB465" s="233"/>
      <c r="BC465" s="233"/>
      <c r="BD465" s="233"/>
      <c r="BE465" s="233"/>
      <c r="BF465" s="233"/>
      <c r="BG465" s="233"/>
      <c r="BH465" s="233"/>
      <c r="BI465" s="233"/>
      <c r="BJ465" s="233"/>
      <c r="BK465" s="233"/>
      <c r="BL465" s="233"/>
      <c r="BM465" s="233"/>
      <c r="BN465" s="233"/>
      <c r="BO465" s="233"/>
      <c r="BP465" s="233"/>
      <c r="BQ465" s="233"/>
      <c r="BR465" s="233"/>
      <c r="BS465" s="233"/>
      <c r="BT465" s="233"/>
      <c r="BU465" s="233"/>
      <c r="BV465" s="233"/>
      <c r="BW465" s="233"/>
      <c r="BX465" s="233"/>
      <c r="BY465" s="233"/>
      <c r="BZ465" s="233"/>
      <c r="CA465" s="233"/>
      <c r="CM465" s="233"/>
      <c r="CN465" s="233"/>
      <c r="CO465" s="233"/>
      <c r="CP465" s="233"/>
      <c r="CQ465" s="233"/>
      <c r="CR465" s="233"/>
      <c r="CS465" s="233"/>
      <c r="CT465" s="233"/>
      <c r="CU465" s="233"/>
      <c r="CV465" s="233"/>
      <c r="CW465" s="233"/>
      <c r="CX465" s="233"/>
      <c r="CY465" s="233"/>
      <c r="CZ465" s="233"/>
      <c r="DA465" s="233"/>
      <c r="DB465" s="233"/>
      <c r="DC465" s="233"/>
      <c r="DD465" s="233"/>
    </row>
    <row r="466" spans="43:108" x14ac:dyDescent="0.25">
      <c r="AQ466" s="233"/>
      <c r="AR466" s="233"/>
      <c r="AS466" s="233"/>
      <c r="AT466" s="233"/>
      <c r="AU466" s="233"/>
      <c r="AV466" s="233"/>
      <c r="AW466" s="233"/>
      <c r="AX466" s="233"/>
      <c r="AY466" s="233"/>
      <c r="AZ466" s="233"/>
      <c r="BA466" s="233"/>
      <c r="BB466" s="233"/>
      <c r="BC466" s="233"/>
      <c r="BD466" s="233"/>
      <c r="BE466" s="233"/>
      <c r="BF466" s="233"/>
      <c r="BG466" s="233"/>
      <c r="BH466" s="233"/>
      <c r="BI466" s="233"/>
      <c r="BJ466" s="233"/>
      <c r="BK466" s="233"/>
      <c r="BL466" s="233"/>
      <c r="BM466" s="233"/>
      <c r="BN466" s="233"/>
      <c r="BO466" s="233"/>
      <c r="BP466" s="233"/>
      <c r="BQ466" s="233"/>
      <c r="BR466" s="233"/>
      <c r="BS466" s="233"/>
      <c r="BT466" s="233"/>
      <c r="BU466" s="233"/>
      <c r="BV466" s="233"/>
      <c r="BW466" s="233"/>
      <c r="BX466" s="233"/>
      <c r="BY466" s="233"/>
      <c r="BZ466" s="233"/>
      <c r="CA466" s="233"/>
      <c r="CM466" s="233"/>
      <c r="CN466" s="233"/>
      <c r="CO466" s="233"/>
      <c r="CP466" s="233"/>
      <c r="CQ466" s="233"/>
      <c r="CR466" s="233"/>
      <c r="CS466" s="233"/>
      <c r="CT466" s="233"/>
      <c r="CU466" s="233"/>
      <c r="CV466" s="233"/>
      <c r="CW466" s="233"/>
      <c r="CX466" s="233"/>
      <c r="CY466" s="233"/>
      <c r="CZ466" s="233"/>
      <c r="DA466" s="233"/>
      <c r="DB466" s="233"/>
      <c r="DC466" s="233"/>
      <c r="DD466" s="233"/>
    </row>
    <row r="467" spans="43:108" x14ac:dyDescent="0.25">
      <c r="AQ467" s="233"/>
      <c r="AR467" s="233"/>
      <c r="AS467" s="233"/>
      <c r="AT467" s="233"/>
      <c r="AU467" s="233"/>
      <c r="AV467" s="233"/>
      <c r="AW467" s="233"/>
      <c r="AX467" s="233"/>
      <c r="AY467" s="233"/>
      <c r="AZ467" s="233"/>
      <c r="BA467" s="233"/>
      <c r="BB467" s="233"/>
      <c r="BC467" s="233"/>
      <c r="BD467" s="233"/>
      <c r="BE467" s="233"/>
      <c r="BF467" s="233"/>
      <c r="BG467" s="233"/>
      <c r="BH467" s="233"/>
      <c r="BI467" s="233"/>
      <c r="BJ467" s="233"/>
      <c r="BK467" s="233"/>
      <c r="BL467" s="233"/>
      <c r="BM467" s="233"/>
      <c r="BN467" s="233"/>
      <c r="BO467" s="233"/>
      <c r="BP467" s="233"/>
      <c r="BQ467" s="233"/>
      <c r="BR467" s="233"/>
      <c r="BS467" s="233"/>
      <c r="BT467" s="233"/>
      <c r="BU467" s="233"/>
      <c r="BV467" s="233"/>
      <c r="BW467" s="233"/>
      <c r="BX467" s="233"/>
      <c r="BY467" s="233"/>
      <c r="BZ467" s="233"/>
      <c r="CA467" s="233"/>
      <c r="CM467" s="233"/>
      <c r="CN467" s="233"/>
      <c r="CO467" s="233"/>
      <c r="CP467" s="233"/>
      <c r="CQ467" s="233"/>
      <c r="CR467" s="233"/>
      <c r="CS467" s="233"/>
      <c r="CT467" s="233"/>
      <c r="CU467" s="233"/>
      <c r="CV467" s="233"/>
      <c r="CW467" s="233"/>
      <c r="CX467" s="233"/>
      <c r="CY467" s="233"/>
      <c r="CZ467" s="233"/>
      <c r="DA467" s="233"/>
      <c r="DB467" s="233"/>
      <c r="DC467" s="233"/>
      <c r="DD467" s="233"/>
    </row>
    <row r="468" spans="43:108" x14ac:dyDescent="0.25">
      <c r="AQ468" s="233"/>
      <c r="AR468" s="233"/>
      <c r="AS468" s="233"/>
      <c r="AT468" s="233"/>
      <c r="AU468" s="233"/>
      <c r="AV468" s="233"/>
      <c r="AW468" s="233"/>
      <c r="AX468" s="233"/>
      <c r="AY468" s="233"/>
      <c r="AZ468" s="233"/>
      <c r="BA468" s="233"/>
      <c r="BB468" s="233"/>
      <c r="BC468" s="233"/>
      <c r="BD468" s="233"/>
      <c r="BE468" s="233"/>
      <c r="BF468" s="233"/>
      <c r="BG468" s="233"/>
      <c r="BH468" s="233"/>
      <c r="BI468" s="233"/>
      <c r="BJ468" s="233"/>
      <c r="BK468" s="233"/>
      <c r="BL468" s="233"/>
      <c r="BM468" s="233"/>
      <c r="BN468" s="233"/>
      <c r="BO468" s="233"/>
      <c r="BP468" s="233"/>
      <c r="BQ468" s="233"/>
      <c r="BR468" s="233"/>
      <c r="BS468" s="233"/>
      <c r="BT468" s="233"/>
      <c r="BU468" s="233"/>
      <c r="BV468" s="233"/>
      <c r="BW468" s="233"/>
      <c r="BX468" s="233"/>
      <c r="BY468" s="233"/>
      <c r="BZ468" s="233"/>
      <c r="CA468" s="233"/>
      <c r="CM468" s="233"/>
      <c r="CN468" s="233"/>
      <c r="CO468" s="233"/>
      <c r="CP468" s="233"/>
      <c r="CQ468" s="233"/>
      <c r="CR468" s="233"/>
      <c r="CS468" s="233"/>
      <c r="CT468" s="233"/>
      <c r="CU468" s="233"/>
      <c r="CV468" s="233"/>
      <c r="CW468" s="233"/>
      <c r="CX468" s="233"/>
      <c r="CY468" s="233"/>
      <c r="CZ468" s="233"/>
      <c r="DA468" s="233"/>
      <c r="DB468" s="233"/>
      <c r="DC468" s="233"/>
      <c r="DD468" s="233"/>
    </row>
    <row r="469" spans="43:108" x14ac:dyDescent="0.25">
      <c r="AQ469" s="233"/>
      <c r="AR469" s="233"/>
      <c r="AS469" s="233"/>
      <c r="AT469" s="233"/>
      <c r="AU469" s="233"/>
      <c r="AV469" s="233"/>
      <c r="AW469" s="233"/>
      <c r="AX469" s="233"/>
      <c r="AY469" s="233"/>
      <c r="AZ469" s="233"/>
      <c r="BA469" s="233"/>
      <c r="BB469" s="233"/>
      <c r="BC469" s="233"/>
      <c r="BD469" s="233"/>
      <c r="BE469" s="233"/>
      <c r="BF469" s="233"/>
      <c r="BG469" s="233"/>
      <c r="BH469" s="233"/>
      <c r="BI469" s="233"/>
      <c r="BJ469" s="233"/>
      <c r="BK469" s="233"/>
      <c r="BL469" s="233"/>
      <c r="BM469" s="233"/>
      <c r="BN469" s="233"/>
      <c r="BO469" s="233"/>
      <c r="BP469" s="233"/>
      <c r="BQ469" s="233"/>
      <c r="BR469" s="233"/>
      <c r="BS469" s="233"/>
      <c r="BT469" s="233"/>
      <c r="BU469" s="233"/>
      <c r="BV469" s="233"/>
      <c r="BW469" s="233"/>
      <c r="BX469" s="233"/>
      <c r="BY469" s="233"/>
      <c r="BZ469" s="233"/>
      <c r="CA469" s="233"/>
      <c r="CM469" s="233"/>
      <c r="CN469" s="233"/>
      <c r="CO469" s="233"/>
      <c r="CP469" s="233"/>
      <c r="CQ469" s="233"/>
      <c r="CR469" s="233"/>
      <c r="CS469" s="233"/>
      <c r="CT469" s="233"/>
      <c r="CU469" s="233"/>
      <c r="CV469" s="233"/>
      <c r="CW469" s="233"/>
      <c r="CX469" s="233"/>
      <c r="CY469" s="233"/>
      <c r="CZ469" s="233"/>
      <c r="DA469" s="233"/>
      <c r="DB469" s="233"/>
      <c r="DC469" s="233"/>
      <c r="DD469" s="233"/>
    </row>
    <row r="470" spans="43:108" x14ac:dyDescent="0.25">
      <c r="AQ470" s="233"/>
      <c r="AR470" s="233"/>
      <c r="AS470" s="233"/>
      <c r="AT470" s="233"/>
      <c r="AU470" s="233"/>
      <c r="AV470" s="233"/>
      <c r="AW470" s="233"/>
      <c r="AX470" s="233"/>
      <c r="AY470" s="233"/>
      <c r="AZ470" s="233"/>
      <c r="BA470" s="233"/>
      <c r="BB470" s="233"/>
      <c r="BC470" s="233"/>
      <c r="BD470" s="233"/>
      <c r="BE470" s="233"/>
      <c r="BF470" s="233"/>
      <c r="BG470" s="233"/>
      <c r="BH470" s="233"/>
      <c r="BI470" s="233"/>
      <c r="BJ470" s="233"/>
      <c r="BK470" s="233"/>
      <c r="BL470" s="233"/>
      <c r="BM470" s="233"/>
      <c r="BN470" s="233"/>
      <c r="BO470" s="233"/>
      <c r="BP470" s="233"/>
      <c r="BQ470" s="233"/>
      <c r="BR470" s="233"/>
      <c r="BS470" s="233"/>
      <c r="BT470" s="233"/>
      <c r="BU470" s="233"/>
      <c r="BV470" s="233"/>
      <c r="BW470" s="233"/>
      <c r="BX470" s="233"/>
      <c r="BY470" s="233"/>
      <c r="BZ470" s="233"/>
      <c r="CA470" s="233"/>
      <c r="CM470" s="233"/>
      <c r="CN470" s="233"/>
      <c r="CO470" s="233"/>
      <c r="CP470" s="233"/>
      <c r="CQ470" s="233"/>
      <c r="CR470" s="233"/>
      <c r="CS470" s="233"/>
      <c r="CT470" s="233"/>
      <c r="CU470" s="233"/>
      <c r="CV470" s="233"/>
      <c r="CW470" s="233"/>
      <c r="CX470" s="233"/>
      <c r="CY470" s="233"/>
      <c r="CZ470" s="233"/>
      <c r="DA470" s="233"/>
      <c r="DB470" s="233"/>
      <c r="DC470" s="233"/>
      <c r="DD470" s="233"/>
    </row>
    <row r="471" spans="43:108" x14ac:dyDescent="0.25">
      <c r="AQ471" s="233"/>
      <c r="AR471" s="233"/>
      <c r="AS471" s="233"/>
      <c r="AT471" s="233"/>
      <c r="AU471" s="233"/>
      <c r="AV471" s="233"/>
      <c r="AW471" s="233"/>
      <c r="AX471" s="233"/>
      <c r="AY471" s="233"/>
      <c r="AZ471" s="233"/>
      <c r="BA471" s="233"/>
      <c r="BB471" s="233"/>
      <c r="BC471" s="233"/>
      <c r="BD471" s="233"/>
      <c r="BE471" s="233"/>
      <c r="BF471" s="233"/>
      <c r="BG471" s="233"/>
      <c r="BH471" s="233"/>
      <c r="BI471" s="233"/>
      <c r="BJ471" s="233"/>
      <c r="BK471" s="233"/>
      <c r="BL471" s="233"/>
      <c r="BM471" s="233"/>
      <c r="BN471" s="233"/>
      <c r="BO471" s="233"/>
      <c r="BP471" s="233"/>
      <c r="BQ471" s="233"/>
      <c r="BR471" s="233"/>
      <c r="BS471" s="233"/>
      <c r="BT471" s="233"/>
      <c r="BU471" s="233"/>
      <c r="BV471" s="233"/>
      <c r="BW471" s="233"/>
      <c r="BX471" s="233"/>
      <c r="BY471" s="233"/>
      <c r="BZ471" s="233"/>
      <c r="CA471" s="233"/>
      <c r="CM471" s="233"/>
      <c r="CN471" s="233"/>
      <c r="CO471" s="233"/>
      <c r="CP471" s="233"/>
      <c r="CQ471" s="233"/>
      <c r="CR471" s="233"/>
      <c r="CS471" s="233"/>
      <c r="CT471" s="233"/>
      <c r="CU471" s="233"/>
      <c r="CV471" s="233"/>
      <c r="CW471" s="233"/>
      <c r="CX471" s="233"/>
      <c r="CY471" s="233"/>
      <c r="CZ471" s="233"/>
      <c r="DA471" s="233"/>
      <c r="DB471" s="233"/>
      <c r="DC471" s="233"/>
      <c r="DD471" s="233"/>
    </row>
    <row r="472" spans="43:108" x14ac:dyDescent="0.25">
      <c r="AQ472" s="233"/>
      <c r="AR472" s="233"/>
      <c r="AS472" s="233"/>
      <c r="AT472" s="233"/>
      <c r="AU472" s="233"/>
      <c r="AV472" s="233"/>
      <c r="AW472" s="233"/>
      <c r="AX472" s="233"/>
      <c r="AY472" s="233"/>
      <c r="AZ472" s="233"/>
      <c r="BA472" s="233"/>
      <c r="BB472" s="233"/>
      <c r="BC472" s="233"/>
      <c r="BD472" s="233"/>
      <c r="BE472" s="233"/>
      <c r="BF472" s="233"/>
      <c r="BG472" s="233"/>
      <c r="BH472" s="233"/>
      <c r="BI472" s="233"/>
      <c r="BJ472" s="233"/>
      <c r="BK472" s="233"/>
      <c r="BL472" s="233"/>
      <c r="BM472" s="233"/>
      <c r="BN472" s="233"/>
      <c r="BO472" s="233"/>
      <c r="BP472" s="233"/>
      <c r="BQ472" s="233"/>
      <c r="BR472" s="233"/>
      <c r="BS472" s="233"/>
      <c r="BT472" s="233"/>
      <c r="BU472" s="233"/>
      <c r="BV472" s="233"/>
      <c r="BW472" s="233"/>
      <c r="BX472" s="233"/>
      <c r="BY472" s="233"/>
      <c r="BZ472" s="233"/>
      <c r="CA472" s="233"/>
      <c r="CM472" s="233"/>
      <c r="CN472" s="233"/>
      <c r="CO472" s="233"/>
      <c r="CP472" s="233"/>
      <c r="CQ472" s="233"/>
      <c r="CR472" s="233"/>
      <c r="CS472" s="233"/>
      <c r="CT472" s="233"/>
      <c r="CU472" s="233"/>
      <c r="CV472" s="233"/>
      <c r="CW472" s="233"/>
      <c r="CX472" s="233"/>
      <c r="CY472" s="233"/>
      <c r="CZ472" s="233"/>
      <c r="DA472" s="233"/>
      <c r="DB472" s="233"/>
      <c r="DC472" s="233"/>
      <c r="DD472" s="233"/>
    </row>
    <row r="473" spans="43:108" x14ac:dyDescent="0.25">
      <c r="AQ473" s="233"/>
      <c r="AR473" s="233"/>
      <c r="AS473" s="233"/>
      <c r="AT473" s="233"/>
      <c r="AU473" s="233"/>
      <c r="AV473" s="233"/>
      <c r="AW473" s="233"/>
      <c r="AX473" s="233"/>
      <c r="AY473" s="233"/>
      <c r="AZ473" s="233"/>
      <c r="BA473" s="233"/>
      <c r="BB473" s="233"/>
      <c r="BC473" s="233"/>
      <c r="BD473" s="233"/>
      <c r="BE473" s="233"/>
      <c r="BF473" s="233"/>
      <c r="BG473" s="233"/>
      <c r="BH473" s="233"/>
      <c r="BI473" s="233"/>
      <c r="BJ473" s="233"/>
      <c r="BK473" s="233"/>
      <c r="BL473" s="233"/>
      <c r="BM473" s="233"/>
      <c r="BN473" s="233"/>
      <c r="BO473" s="233"/>
      <c r="BP473" s="233"/>
      <c r="BQ473" s="233"/>
      <c r="BR473" s="233"/>
      <c r="BS473" s="233"/>
      <c r="BT473" s="233"/>
      <c r="BU473" s="233"/>
      <c r="BV473" s="233"/>
      <c r="BW473" s="233"/>
      <c r="BX473" s="233"/>
      <c r="BY473" s="233"/>
      <c r="BZ473" s="233"/>
      <c r="CA473" s="233"/>
      <c r="CM473" s="233"/>
      <c r="CN473" s="233"/>
      <c r="CO473" s="233"/>
      <c r="CP473" s="233"/>
      <c r="CQ473" s="233"/>
      <c r="CR473" s="233"/>
      <c r="CS473" s="233"/>
      <c r="CT473" s="233"/>
      <c r="CU473" s="233"/>
      <c r="CV473" s="233"/>
      <c r="CW473" s="233"/>
      <c r="CX473" s="233"/>
      <c r="CY473" s="233"/>
      <c r="CZ473" s="233"/>
      <c r="DA473" s="233"/>
      <c r="DB473" s="233"/>
      <c r="DC473" s="233"/>
      <c r="DD473" s="233"/>
    </row>
    <row r="474" spans="43:108" x14ac:dyDescent="0.25">
      <c r="AQ474" s="233"/>
      <c r="AR474" s="233"/>
      <c r="AS474" s="233"/>
      <c r="AT474" s="233"/>
      <c r="AU474" s="233"/>
      <c r="AV474" s="233"/>
      <c r="AW474" s="233"/>
      <c r="AX474" s="233"/>
      <c r="AY474" s="233"/>
      <c r="AZ474" s="233"/>
      <c r="BA474" s="233"/>
      <c r="BB474" s="233"/>
      <c r="BC474" s="233"/>
      <c r="BD474" s="233"/>
      <c r="BE474" s="233"/>
      <c r="BF474" s="233"/>
      <c r="BG474" s="233"/>
      <c r="BH474" s="233"/>
      <c r="BI474" s="233"/>
      <c r="BJ474" s="233"/>
      <c r="BK474" s="233"/>
      <c r="BL474" s="233"/>
      <c r="BM474" s="233"/>
      <c r="BN474" s="233"/>
      <c r="BO474" s="233"/>
      <c r="BP474" s="233"/>
      <c r="BQ474" s="233"/>
      <c r="BR474" s="233"/>
      <c r="BS474" s="233"/>
      <c r="BT474" s="233"/>
      <c r="BU474" s="233"/>
      <c r="BV474" s="233"/>
      <c r="BW474" s="233"/>
      <c r="BX474" s="233"/>
      <c r="BY474" s="233"/>
      <c r="BZ474" s="233"/>
      <c r="CA474" s="233"/>
      <c r="CM474" s="233"/>
      <c r="CN474" s="233"/>
      <c r="CO474" s="233"/>
      <c r="CP474" s="233"/>
      <c r="CQ474" s="233"/>
      <c r="CR474" s="233"/>
      <c r="CS474" s="233"/>
      <c r="CT474" s="233"/>
      <c r="CU474" s="233"/>
      <c r="CV474" s="233"/>
      <c r="CW474" s="233"/>
      <c r="CX474" s="233"/>
      <c r="CY474" s="233"/>
      <c r="CZ474" s="233"/>
      <c r="DA474" s="233"/>
      <c r="DB474" s="233"/>
      <c r="DC474" s="233"/>
      <c r="DD474" s="233"/>
    </row>
    <row r="475" spans="43:108" x14ac:dyDescent="0.25">
      <c r="AQ475" s="233"/>
      <c r="AR475" s="233"/>
      <c r="AS475" s="233"/>
      <c r="AT475" s="233"/>
      <c r="AU475" s="233"/>
      <c r="AV475" s="233"/>
      <c r="AW475" s="233"/>
      <c r="AX475" s="233"/>
      <c r="AY475" s="233"/>
      <c r="AZ475" s="233"/>
      <c r="BA475" s="233"/>
      <c r="BB475" s="233"/>
      <c r="BC475" s="233"/>
      <c r="BD475" s="233"/>
      <c r="BE475" s="233"/>
      <c r="BF475" s="233"/>
      <c r="BG475" s="233"/>
      <c r="BH475" s="233"/>
      <c r="BI475" s="233"/>
      <c r="BJ475" s="233"/>
      <c r="BK475" s="233"/>
      <c r="BL475" s="233"/>
      <c r="BM475" s="233"/>
      <c r="BN475" s="233"/>
      <c r="BO475" s="233"/>
      <c r="BP475" s="233"/>
      <c r="BQ475" s="233"/>
      <c r="BR475" s="233"/>
      <c r="BS475" s="233"/>
      <c r="BT475" s="233"/>
      <c r="BU475" s="233"/>
      <c r="BV475" s="233"/>
      <c r="BW475" s="233"/>
      <c r="BX475" s="233"/>
      <c r="BY475" s="233"/>
      <c r="BZ475" s="233"/>
      <c r="CA475" s="233"/>
      <c r="CM475" s="233"/>
      <c r="CN475" s="233"/>
      <c r="CO475" s="233"/>
      <c r="CP475" s="233"/>
      <c r="CQ475" s="233"/>
      <c r="CR475" s="233"/>
      <c r="CS475" s="233"/>
      <c r="CT475" s="233"/>
      <c r="CU475" s="233"/>
      <c r="CV475" s="233"/>
      <c r="CW475" s="233"/>
      <c r="CX475" s="233"/>
      <c r="CY475" s="233"/>
      <c r="CZ475" s="233"/>
      <c r="DA475" s="233"/>
      <c r="DB475" s="233"/>
      <c r="DC475" s="233"/>
      <c r="DD475" s="233"/>
    </row>
    <row r="476" spans="43:108" x14ac:dyDescent="0.25">
      <c r="AQ476" s="233"/>
      <c r="AR476" s="233"/>
      <c r="AS476" s="233"/>
      <c r="AT476" s="233"/>
      <c r="AU476" s="233"/>
      <c r="AV476" s="233"/>
      <c r="AW476" s="233"/>
      <c r="AX476" s="233"/>
      <c r="AY476" s="233"/>
      <c r="AZ476" s="233"/>
      <c r="BA476" s="233"/>
      <c r="BB476" s="233"/>
      <c r="BC476" s="233"/>
      <c r="BD476" s="233"/>
      <c r="BE476" s="233"/>
      <c r="BF476" s="233"/>
      <c r="BG476" s="233"/>
      <c r="BH476" s="233"/>
      <c r="BI476" s="233"/>
      <c r="BJ476" s="233"/>
      <c r="BK476" s="233"/>
      <c r="BL476" s="233"/>
      <c r="BM476" s="233"/>
      <c r="BN476" s="233"/>
      <c r="BO476" s="233"/>
      <c r="BP476" s="233"/>
      <c r="BQ476" s="233"/>
      <c r="BR476" s="233"/>
      <c r="BS476" s="233"/>
      <c r="BT476" s="233"/>
      <c r="BU476" s="233"/>
      <c r="BV476" s="233"/>
      <c r="BW476" s="233"/>
      <c r="BX476" s="233"/>
      <c r="BY476" s="233"/>
      <c r="BZ476" s="233"/>
      <c r="CA476" s="233"/>
      <c r="CM476" s="233"/>
      <c r="CN476" s="233"/>
      <c r="CO476" s="233"/>
      <c r="CP476" s="233"/>
      <c r="CQ476" s="233"/>
      <c r="CR476" s="233"/>
      <c r="CS476" s="233"/>
      <c r="CT476" s="233"/>
      <c r="CU476" s="233"/>
      <c r="CV476" s="233"/>
      <c r="CW476" s="233"/>
      <c r="CX476" s="233"/>
      <c r="CY476" s="233"/>
      <c r="CZ476" s="233"/>
      <c r="DA476" s="233"/>
      <c r="DB476" s="233"/>
      <c r="DC476" s="233"/>
      <c r="DD476" s="233"/>
    </row>
    <row r="477" spans="43:108" x14ac:dyDescent="0.25">
      <c r="AQ477" s="233"/>
      <c r="AR477" s="233"/>
      <c r="AS477" s="233"/>
      <c r="AT477" s="233"/>
      <c r="AU477" s="233"/>
      <c r="AV477" s="233"/>
      <c r="AW477" s="233"/>
      <c r="AX477" s="233"/>
      <c r="AY477" s="233"/>
      <c r="AZ477" s="233"/>
      <c r="BA477" s="233"/>
      <c r="BB477" s="233"/>
      <c r="BC477" s="233"/>
      <c r="BD477" s="233"/>
      <c r="BE477" s="233"/>
      <c r="BF477" s="233"/>
      <c r="BG477" s="233"/>
      <c r="BH477" s="233"/>
      <c r="BI477" s="233"/>
      <c r="BJ477" s="233"/>
      <c r="BK477" s="233"/>
      <c r="BL477" s="233"/>
      <c r="BM477" s="233"/>
      <c r="BN477" s="233"/>
      <c r="BO477" s="233"/>
      <c r="BP477" s="233"/>
      <c r="BQ477" s="233"/>
      <c r="BR477" s="233"/>
      <c r="BS477" s="233"/>
      <c r="BT477" s="233"/>
      <c r="BU477" s="233"/>
      <c r="BV477" s="233"/>
      <c r="BW477" s="233"/>
      <c r="BX477" s="233"/>
      <c r="BY477" s="233"/>
      <c r="BZ477" s="233"/>
      <c r="CA477" s="233"/>
      <c r="CM477" s="233"/>
      <c r="CN477" s="233"/>
      <c r="CO477" s="233"/>
      <c r="CP477" s="233"/>
      <c r="CQ477" s="233"/>
      <c r="CR477" s="233"/>
      <c r="CS477" s="233"/>
      <c r="CT477" s="233"/>
      <c r="CU477" s="233"/>
      <c r="CV477" s="233"/>
      <c r="CW477" s="233"/>
      <c r="CX477" s="233"/>
      <c r="CY477" s="233"/>
      <c r="CZ477" s="233"/>
      <c r="DA477" s="233"/>
      <c r="DB477" s="233"/>
      <c r="DC477" s="233"/>
      <c r="DD477" s="233"/>
    </row>
    <row r="478" spans="43:108" x14ac:dyDescent="0.25">
      <c r="AQ478" s="233"/>
      <c r="AR478" s="233"/>
      <c r="AS478" s="233"/>
      <c r="AT478" s="233"/>
      <c r="AU478" s="233"/>
      <c r="AV478" s="233"/>
      <c r="AW478" s="233"/>
      <c r="AX478" s="233"/>
      <c r="AY478" s="233"/>
      <c r="AZ478" s="233"/>
      <c r="BA478" s="233"/>
      <c r="BB478" s="233"/>
      <c r="BC478" s="233"/>
      <c r="BD478" s="233"/>
      <c r="BE478" s="233"/>
      <c r="BF478" s="233"/>
      <c r="BG478" s="233"/>
      <c r="BH478" s="233"/>
      <c r="BI478" s="233"/>
      <c r="BJ478" s="233"/>
      <c r="BK478" s="233"/>
      <c r="BL478" s="233"/>
      <c r="BM478" s="233"/>
      <c r="BN478" s="233"/>
      <c r="BO478" s="233"/>
      <c r="BP478" s="233"/>
      <c r="BQ478" s="233"/>
      <c r="BR478" s="233"/>
      <c r="BS478" s="233"/>
      <c r="BT478" s="233"/>
      <c r="BU478" s="233"/>
      <c r="BV478" s="233"/>
      <c r="BW478" s="233"/>
      <c r="BX478" s="233"/>
      <c r="BY478" s="233"/>
      <c r="BZ478" s="233"/>
      <c r="CA478" s="233"/>
      <c r="CM478" s="233"/>
      <c r="CN478" s="233"/>
      <c r="CO478" s="233"/>
      <c r="CP478" s="233"/>
      <c r="CQ478" s="233"/>
      <c r="CR478" s="233"/>
      <c r="CS478" s="233"/>
      <c r="CT478" s="233"/>
      <c r="CU478" s="233"/>
      <c r="CV478" s="233"/>
      <c r="CW478" s="233"/>
      <c r="CX478" s="233"/>
      <c r="CY478" s="233"/>
      <c r="CZ478" s="233"/>
      <c r="DA478" s="233"/>
      <c r="DB478" s="233"/>
      <c r="DC478" s="233"/>
      <c r="DD478" s="233"/>
    </row>
    <row r="479" spans="43:108" x14ac:dyDescent="0.25">
      <c r="AQ479" s="233"/>
      <c r="AR479" s="233"/>
      <c r="AS479" s="233"/>
      <c r="AT479" s="233"/>
      <c r="AU479" s="233"/>
      <c r="AV479" s="233"/>
      <c r="AW479" s="233"/>
      <c r="AX479" s="233"/>
      <c r="AY479" s="233"/>
      <c r="AZ479" s="233"/>
      <c r="BA479" s="233"/>
      <c r="BB479" s="233"/>
      <c r="BC479" s="233"/>
      <c r="BD479" s="233"/>
      <c r="BE479" s="233"/>
      <c r="BF479" s="233"/>
      <c r="BG479" s="233"/>
      <c r="BH479" s="233"/>
      <c r="BI479" s="233"/>
      <c r="BJ479" s="233"/>
      <c r="BK479" s="233"/>
      <c r="BL479" s="233"/>
      <c r="BM479" s="233"/>
      <c r="BN479" s="233"/>
      <c r="BO479" s="233"/>
      <c r="BP479" s="233"/>
      <c r="BQ479" s="233"/>
      <c r="BR479" s="233"/>
      <c r="BS479" s="233"/>
      <c r="BT479" s="233"/>
      <c r="BU479" s="233"/>
      <c r="BV479" s="233"/>
      <c r="BW479" s="233"/>
      <c r="BX479" s="233"/>
      <c r="BY479" s="233"/>
      <c r="BZ479" s="233"/>
      <c r="CA479" s="233"/>
      <c r="CM479" s="233"/>
      <c r="CN479" s="233"/>
      <c r="CO479" s="233"/>
      <c r="CP479" s="233"/>
      <c r="CQ479" s="233"/>
      <c r="CR479" s="233"/>
      <c r="CS479" s="233"/>
      <c r="CT479" s="233"/>
      <c r="CU479" s="233"/>
      <c r="CV479" s="233"/>
      <c r="CW479" s="233"/>
      <c r="CX479" s="233"/>
      <c r="CY479" s="233"/>
      <c r="CZ479" s="233"/>
      <c r="DA479" s="233"/>
      <c r="DB479" s="233"/>
      <c r="DC479" s="233"/>
      <c r="DD479" s="233"/>
    </row>
    <row r="480" spans="43:108" x14ac:dyDescent="0.25">
      <c r="AQ480" s="233"/>
      <c r="AR480" s="233"/>
      <c r="AS480" s="233"/>
      <c r="AT480" s="233"/>
      <c r="AU480" s="233"/>
      <c r="AV480" s="233"/>
      <c r="AW480" s="233"/>
      <c r="AX480" s="233"/>
      <c r="AY480" s="233"/>
      <c r="AZ480" s="233"/>
      <c r="BA480" s="233"/>
      <c r="BB480" s="233"/>
      <c r="BC480" s="233"/>
      <c r="BD480" s="233"/>
      <c r="BE480" s="233"/>
      <c r="BF480" s="233"/>
      <c r="BG480" s="233"/>
      <c r="BH480" s="233"/>
      <c r="BI480" s="233"/>
      <c r="BJ480" s="233"/>
      <c r="BK480" s="233"/>
      <c r="BL480" s="233"/>
      <c r="BM480" s="233"/>
      <c r="BN480" s="233"/>
      <c r="BO480" s="233"/>
      <c r="BP480" s="233"/>
      <c r="BQ480" s="233"/>
      <c r="BR480" s="233"/>
      <c r="BS480" s="233"/>
      <c r="BT480" s="233"/>
      <c r="BU480" s="233"/>
      <c r="BV480" s="233"/>
      <c r="BW480" s="233"/>
      <c r="BX480" s="233"/>
      <c r="BY480" s="233"/>
      <c r="BZ480" s="233"/>
      <c r="CA480" s="233"/>
      <c r="CM480" s="233"/>
      <c r="CN480" s="233"/>
      <c r="CO480" s="233"/>
      <c r="CP480" s="233"/>
      <c r="CQ480" s="233"/>
      <c r="CR480" s="233"/>
      <c r="CS480" s="233"/>
      <c r="CT480" s="233"/>
      <c r="CU480" s="233"/>
      <c r="CV480" s="233"/>
      <c r="CW480" s="233"/>
      <c r="CX480" s="233"/>
      <c r="CY480" s="233"/>
      <c r="CZ480" s="233"/>
      <c r="DA480" s="233"/>
      <c r="DB480" s="233"/>
      <c r="DC480" s="233"/>
      <c r="DD480" s="233"/>
    </row>
    <row r="481" spans="43:108" x14ac:dyDescent="0.25">
      <c r="AQ481" s="233"/>
      <c r="AR481" s="233"/>
      <c r="AS481" s="233"/>
      <c r="AT481" s="233"/>
      <c r="AU481" s="233"/>
      <c r="AV481" s="233"/>
      <c r="AW481" s="233"/>
      <c r="AX481" s="233"/>
      <c r="AY481" s="233"/>
      <c r="AZ481" s="233"/>
      <c r="BA481" s="233"/>
      <c r="BB481" s="233"/>
      <c r="BC481" s="233"/>
      <c r="BD481" s="233"/>
      <c r="BE481" s="233"/>
      <c r="BF481" s="233"/>
      <c r="BG481" s="233"/>
      <c r="BH481" s="233"/>
      <c r="BI481" s="233"/>
      <c r="BJ481" s="233"/>
      <c r="BK481" s="233"/>
      <c r="BL481" s="233"/>
      <c r="BM481" s="233"/>
      <c r="BN481" s="233"/>
      <c r="BO481" s="233"/>
      <c r="BP481" s="233"/>
      <c r="BQ481" s="233"/>
      <c r="BR481" s="233"/>
      <c r="BS481" s="233"/>
      <c r="BT481" s="233"/>
      <c r="BU481" s="233"/>
      <c r="BV481" s="233"/>
      <c r="BW481" s="233"/>
      <c r="BX481" s="233"/>
      <c r="BY481" s="233"/>
      <c r="BZ481" s="233"/>
      <c r="CA481" s="233"/>
      <c r="CM481" s="233"/>
      <c r="CN481" s="233"/>
      <c r="CO481" s="233"/>
      <c r="CP481" s="233"/>
      <c r="CQ481" s="233"/>
      <c r="CR481" s="233"/>
      <c r="CS481" s="233"/>
      <c r="CT481" s="233"/>
      <c r="CU481" s="233"/>
      <c r="CV481" s="233"/>
      <c r="CW481" s="233"/>
      <c r="CX481" s="233"/>
      <c r="CY481" s="233"/>
      <c r="CZ481" s="233"/>
      <c r="DA481" s="233"/>
      <c r="DB481" s="233"/>
      <c r="DC481" s="233"/>
      <c r="DD481" s="233"/>
    </row>
    <row r="482" spans="43:108" x14ac:dyDescent="0.25">
      <c r="AQ482" s="233"/>
      <c r="AR482" s="233"/>
      <c r="AS482" s="233"/>
      <c r="AT482" s="233"/>
      <c r="AU482" s="233"/>
      <c r="AV482" s="233"/>
      <c r="AW482" s="233"/>
      <c r="AX482" s="233"/>
      <c r="AY482" s="233"/>
      <c r="AZ482" s="233"/>
      <c r="BA482" s="233"/>
      <c r="BB482" s="233"/>
      <c r="BC482" s="233"/>
      <c r="BD482" s="233"/>
      <c r="BE482" s="233"/>
      <c r="BF482" s="233"/>
      <c r="BG482" s="233"/>
      <c r="BH482" s="233"/>
      <c r="BI482" s="233"/>
      <c r="BJ482" s="233"/>
      <c r="BK482" s="233"/>
      <c r="BL482" s="233"/>
      <c r="BM482" s="233"/>
      <c r="BN482" s="233"/>
      <c r="BO482" s="233"/>
      <c r="BP482" s="233"/>
      <c r="BQ482" s="233"/>
      <c r="BR482" s="233"/>
      <c r="BS482" s="233"/>
      <c r="BT482" s="233"/>
      <c r="BU482" s="233"/>
      <c r="BV482" s="233"/>
      <c r="BW482" s="233"/>
      <c r="BX482" s="233"/>
      <c r="BY482" s="233"/>
      <c r="BZ482" s="233"/>
      <c r="CA482" s="233"/>
      <c r="CM482" s="233"/>
      <c r="CN482" s="233"/>
      <c r="CO482" s="233"/>
      <c r="CP482" s="233"/>
      <c r="CQ482" s="233"/>
      <c r="CR482" s="233"/>
      <c r="CS482" s="233"/>
      <c r="CT482" s="233"/>
      <c r="CU482" s="233"/>
      <c r="CV482" s="233"/>
      <c r="CW482" s="233"/>
      <c r="CX482" s="233"/>
      <c r="CY482" s="233"/>
      <c r="CZ482" s="233"/>
      <c r="DA482" s="233"/>
      <c r="DB482" s="233"/>
      <c r="DC482" s="233"/>
      <c r="DD482" s="233"/>
    </row>
    <row r="483" spans="43:108" x14ac:dyDescent="0.25">
      <c r="AQ483" s="233"/>
      <c r="AR483" s="233"/>
      <c r="AS483" s="233"/>
      <c r="AT483" s="233"/>
      <c r="AU483" s="233"/>
      <c r="AV483" s="233"/>
      <c r="AW483" s="233"/>
      <c r="AX483" s="233"/>
      <c r="AY483" s="233"/>
      <c r="AZ483" s="233"/>
      <c r="BA483" s="233"/>
      <c r="BB483" s="233"/>
      <c r="BC483" s="233"/>
      <c r="BD483" s="233"/>
      <c r="BE483" s="233"/>
      <c r="BF483" s="233"/>
      <c r="BG483" s="233"/>
      <c r="BH483" s="233"/>
      <c r="BI483" s="233"/>
      <c r="BJ483" s="233"/>
      <c r="BK483" s="233"/>
      <c r="BL483" s="233"/>
      <c r="BM483" s="233"/>
      <c r="BN483" s="233"/>
      <c r="BO483" s="233"/>
      <c r="BP483" s="233"/>
      <c r="BQ483" s="233"/>
      <c r="BR483" s="233"/>
      <c r="BS483" s="233"/>
      <c r="BT483" s="233"/>
      <c r="BU483" s="233"/>
      <c r="BV483" s="233"/>
      <c r="BW483" s="233"/>
      <c r="BX483" s="233"/>
      <c r="BY483" s="233"/>
      <c r="BZ483" s="233"/>
      <c r="CA483" s="233"/>
      <c r="CM483" s="233"/>
      <c r="CN483" s="233"/>
      <c r="CO483" s="233"/>
      <c r="CP483" s="233"/>
      <c r="CQ483" s="233"/>
      <c r="CR483" s="233"/>
      <c r="CS483" s="233"/>
      <c r="CT483" s="233"/>
      <c r="CU483" s="233"/>
      <c r="CV483" s="233"/>
      <c r="CW483" s="233"/>
      <c r="CX483" s="233"/>
      <c r="CY483" s="233"/>
      <c r="CZ483" s="233"/>
      <c r="DA483" s="233"/>
      <c r="DB483" s="233"/>
      <c r="DC483" s="233"/>
      <c r="DD483" s="233"/>
    </row>
    <row r="484" spans="43:108" x14ac:dyDescent="0.25">
      <c r="AQ484" s="233"/>
      <c r="AR484" s="233"/>
      <c r="AS484" s="233"/>
      <c r="AT484" s="233"/>
      <c r="AU484" s="233"/>
      <c r="AV484" s="233"/>
      <c r="AW484" s="233"/>
      <c r="AX484" s="233"/>
      <c r="AY484" s="233"/>
      <c r="AZ484" s="233"/>
      <c r="BA484" s="233"/>
      <c r="BB484" s="233"/>
      <c r="BC484" s="233"/>
      <c r="BD484" s="233"/>
      <c r="BE484" s="233"/>
      <c r="BF484" s="233"/>
      <c r="BG484" s="233"/>
      <c r="BH484" s="233"/>
      <c r="BI484" s="233"/>
      <c r="BJ484" s="233"/>
      <c r="BK484" s="233"/>
      <c r="BL484" s="233"/>
      <c r="BM484" s="233"/>
      <c r="BN484" s="233"/>
      <c r="BO484" s="233"/>
      <c r="BP484" s="233"/>
      <c r="BQ484" s="233"/>
      <c r="BR484" s="233"/>
      <c r="BS484" s="233"/>
      <c r="BT484" s="233"/>
      <c r="BU484" s="233"/>
      <c r="BV484" s="233"/>
      <c r="BW484" s="233"/>
      <c r="BX484" s="233"/>
      <c r="BY484" s="233"/>
      <c r="BZ484" s="233"/>
      <c r="CA484" s="233"/>
      <c r="CM484" s="233"/>
      <c r="CN484" s="233"/>
      <c r="CO484" s="233"/>
      <c r="CP484" s="233"/>
      <c r="CQ484" s="233"/>
      <c r="CR484" s="233"/>
      <c r="CS484" s="233"/>
      <c r="CT484" s="233"/>
      <c r="CU484" s="233"/>
      <c r="CV484" s="233"/>
      <c r="CW484" s="233"/>
      <c r="CX484" s="233"/>
      <c r="CY484" s="233"/>
      <c r="CZ484" s="233"/>
      <c r="DA484" s="233"/>
      <c r="DB484" s="233"/>
      <c r="DC484" s="233"/>
      <c r="DD484" s="233"/>
    </row>
    <row r="485" spans="43:108" x14ac:dyDescent="0.25">
      <c r="AQ485" s="233"/>
      <c r="AR485" s="233"/>
      <c r="AS485" s="233"/>
      <c r="AT485" s="233"/>
      <c r="AU485" s="233"/>
      <c r="AV485" s="233"/>
      <c r="AW485" s="233"/>
      <c r="AX485" s="233"/>
      <c r="AY485" s="233"/>
      <c r="AZ485" s="233"/>
      <c r="BA485" s="233"/>
      <c r="BB485" s="233"/>
      <c r="BC485" s="233"/>
      <c r="BD485" s="233"/>
      <c r="BE485" s="233"/>
      <c r="BF485" s="233"/>
      <c r="BG485" s="233"/>
      <c r="BH485" s="233"/>
      <c r="BI485" s="233"/>
      <c r="BJ485" s="233"/>
      <c r="BK485" s="233"/>
      <c r="BL485" s="233"/>
      <c r="BM485" s="233"/>
      <c r="BN485" s="233"/>
      <c r="BO485" s="233"/>
      <c r="BP485" s="233"/>
      <c r="BQ485" s="233"/>
      <c r="BR485" s="233"/>
      <c r="BS485" s="233"/>
      <c r="BT485" s="233"/>
      <c r="BU485" s="233"/>
      <c r="BV485" s="233"/>
      <c r="BW485" s="233"/>
      <c r="BX485" s="233"/>
      <c r="BY485" s="233"/>
      <c r="BZ485" s="233"/>
      <c r="CA485" s="233"/>
      <c r="CM485" s="233"/>
      <c r="CN485" s="233"/>
      <c r="CO485" s="233"/>
      <c r="CP485" s="233"/>
      <c r="CQ485" s="233"/>
      <c r="CR485" s="233"/>
      <c r="CS485" s="233"/>
      <c r="CT485" s="233"/>
      <c r="CU485" s="233"/>
      <c r="CV485" s="233"/>
      <c r="CW485" s="233"/>
      <c r="CX485" s="233"/>
      <c r="CY485" s="233"/>
      <c r="CZ485" s="233"/>
      <c r="DA485" s="233"/>
      <c r="DB485" s="233"/>
      <c r="DC485" s="233"/>
      <c r="DD485" s="233"/>
    </row>
    <row r="486" spans="43:108" x14ac:dyDescent="0.25">
      <c r="AQ486" s="233"/>
      <c r="AR486" s="233"/>
      <c r="AS486" s="233"/>
      <c r="AT486" s="233"/>
      <c r="AU486" s="233"/>
      <c r="AV486" s="233"/>
      <c r="AW486" s="233"/>
      <c r="AX486" s="233"/>
      <c r="AY486" s="233"/>
      <c r="AZ486" s="233"/>
      <c r="BA486" s="233"/>
      <c r="BB486" s="233"/>
      <c r="BC486" s="233"/>
      <c r="BD486" s="233"/>
      <c r="BE486" s="233"/>
      <c r="BF486" s="233"/>
      <c r="BG486" s="233"/>
      <c r="BH486" s="233"/>
      <c r="BI486" s="233"/>
      <c r="BJ486" s="233"/>
      <c r="BK486" s="233"/>
      <c r="BL486" s="233"/>
      <c r="BM486" s="233"/>
      <c r="BN486" s="233"/>
      <c r="BO486" s="233"/>
      <c r="BP486" s="233"/>
      <c r="BQ486" s="233"/>
      <c r="BR486" s="233"/>
      <c r="BS486" s="233"/>
      <c r="BT486" s="233"/>
      <c r="BU486" s="233"/>
      <c r="BV486" s="233"/>
      <c r="BW486" s="233"/>
      <c r="BX486" s="233"/>
      <c r="BY486" s="233"/>
      <c r="BZ486" s="233"/>
      <c r="CA486" s="233"/>
      <c r="CM486" s="233"/>
      <c r="CN486" s="233"/>
      <c r="CO486" s="233"/>
      <c r="CP486" s="233"/>
      <c r="CQ486" s="233"/>
      <c r="CR486" s="233"/>
      <c r="CS486" s="233"/>
      <c r="CT486" s="233"/>
      <c r="CU486" s="233"/>
      <c r="CV486" s="233"/>
      <c r="CW486" s="233"/>
      <c r="CX486" s="233"/>
      <c r="CY486" s="233"/>
      <c r="CZ486" s="233"/>
      <c r="DA486" s="233"/>
      <c r="DB486" s="233"/>
      <c r="DC486" s="233"/>
      <c r="DD486" s="233"/>
    </row>
    <row r="487" spans="43:108" x14ac:dyDescent="0.25">
      <c r="AQ487" s="233"/>
      <c r="AR487" s="233"/>
      <c r="AS487" s="233"/>
      <c r="AT487" s="233"/>
      <c r="AU487" s="233"/>
      <c r="AV487" s="233"/>
      <c r="AW487" s="233"/>
      <c r="AX487" s="233"/>
      <c r="AY487" s="233"/>
      <c r="AZ487" s="233"/>
      <c r="BA487" s="233"/>
      <c r="BB487" s="233"/>
      <c r="BC487" s="233"/>
      <c r="BD487" s="233"/>
      <c r="BE487" s="233"/>
      <c r="BF487" s="233"/>
      <c r="BG487" s="233"/>
      <c r="BH487" s="233"/>
      <c r="BI487" s="233"/>
      <c r="BJ487" s="233"/>
      <c r="BK487" s="233"/>
      <c r="BL487" s="233"/>
      <c r="BM487" s="233"/>
      <c r="BN487" s="233"/>
      <c r="BO487" s="233"/>
      <c r="BP487" s="233"/>
      <c r="BQ487" s="233"/>
      <c r="BR487" s="233"/>
      <c r="BS487" s="233"/>
      <c r="BT487" s="233"/>
      <c r="BU487" s="233"/>
      <c r="BV487" s="233"/>
      <c r="BW487" s="233"/>
      <c r="BX487" s="233"/>
      <c r="BY487" s="233"/>
      <c r="BZ487" s="233"/>
      <c r="CA487" s="233"/>
      <c r="CM487" s="233"/>
      <c r="CN487" s="233"/>
      <c r="CO487" s="233"/>
      <c r="CP487" s="233"/>
      <c r="CQ487" s="233"/>
      <c r="CR487" s="233"/>
      <c r="CS487" s="233"/>
      <c r="CT487" s="233"/>
      <c r="CU487" s="233"/>
      <c r="CV487" s="233"/>
      <c r="CW487" s="233"/>
      <c r="CX487" s="233"/>
      <c r="CY487" s="233"/>
      <c r="CZ487" s="233"/>
      <c r="DA487" s="233"/>
      <c r="DB487" s="233"/>
      <c r="DC487" s="233"/>
      <c r="DD487" s="233"/>
    </row>
    <row r="488" spans="43:108" x14ac:dyDescent="0.25">
      <c r="AQ488" s="233"/>
      <c r="AR488" s="233"/>
      <c r="AS488" s="233"/>
      <c r="AT488" s="233"/>
      <c r="AU488" s="233"/>
      <c r="AV488" s="233"/>
      <c r="AW488" s="233"/>
      <c r="AX488" s="233"/>
      <c r="AY488" s="233"/>
      <c r="AZ488" s="233"/>
      <c r="BA488" s="233"/>
      <c r="BB488" s="233"/>
      <c r="BC488" s="233"/>
      <c r="BD488" s="233"/>
      <c r="BE488" s="233"/>
      <c r="BF488" s="233"/>
      <c r="BG488" s="233"/>
      <c r="BH488" s="233"/>
      <c r="BI488" s="233"/>
      <c r="BJ488" s="233"/>
      <c r="BK488" s="233"/>
      <c r="BL488" s="233"/>
      <c r="BM488" s="233"/>
      <c r="BN488" s="233"/>
      <c r="BO488" s="233"/>
      <c r="BP488" s="233"/>
      <c r="BQ488" s="233"/>
      <c r="BR488" s="233"/>
      <c r="BS488" s="233"/>
      <c r="BT488" s="233"/>
      <c r="BU488" s="233"/>
      <c r="BV488" s="233"/>
      <c r="BW488" s="233"/>
      <c r="BX488" s="233"/>
      <c r="BY488" s="233"/>
      <c r="BZ488" s="233"/>
      <c r="CA488" s="233"/>
      <c r="CM488" s="233"/>
      <c r="CN488" s="233"/>
      <c r="CO488" s="233"/>
      <c r="CP488" s="233"/>
      <c r="CQ488" s="233"/>
      <c r="CR488" s="233"/>
      <c r="CS488" s="233"/>
      <c r="CT488" s="233"/>
      <c r="CU488" s="233"/>
      <c r="CV488" s="233"/>
      <c r="CW488" s="233"/>
      <c r="CX488" s="233"/>
      <c r="CY488" s="233"/>
      <c r="CZ488" s="233"/>
      <c r="DA488" s="233"/>
      <c r="DB488" s="233"/>
      <c r="DC488" s="233"/>
      <c r="DD488" s="233"/>
    </row>
    <row r="489" spans="43:108" x14ac:dyDescent="0.25">
      <c r="AQ489" s="233"/>
      <c r="AR489" s="233"/>
      <c r="AS489" s="233"/>
      <c r="AT489" s="233"/>
      <c r="AU489" s="233"/>
      <c r="AV489" s="233"/>
      <c r="AW489" s="233"/>
      <c r="AX489" s="233"/>
      <c r="AY489" s="233"/>
      <c r="AZ489" s="233"/>
      <c r="BA489" s="233"/>
      <c r="BB489" s="233"/>
      <c r="BC489" s="233"/>
      <c r="BD489" s="233"/>
      <c r="BE489" s="233"/>
      <c r="BF489" s="233"/>
      <c r="BG489" s="233"/>
      <c r="BH489" s="233"/>
      <c r="BI489" s="233"/>
      <c r="BJ489" s="233"/>
      <c r="BK489" s="233"/>
      <c r="BL489" s="233"/>
      <c r="BM489" s="233"/>
      <c r="BN489" s="233"/>
      <c r="BO489" s="233"/>
      <c r="BP489" s="233"/>
      <c r="BQ489" s="233"/>
      <c r="BR489" s="233"/>
      <c r="BS489" s="233"/>
      <c r="BT489" s="233"/>
      <c r="BU489" s="233"/>
      <c r="BV489" s="233"/>
      <c r="BW489" s="233"/>
      <c r="BX489" s="233"/>
      <c r="BY489" s="233"/>
      <c r="BZ489" s="233"/>
      <c r="CA489" s="233"/>
      <c r="CM489" s="233"/>
      <c r="CN489" s="233"/>
      <c r="CO489" s="233"/>
      <c r="CP489" s="233"/>
      <c r="CQ489" s="233"/>
      <c r="CR489" s="233"/>
      <c r="CS489" s="233"/>
      <c r="CT489" s="233"/>
      <c r="CU489" s="233"/>
      <c r="CV489" s="233"/>
      <c r="CW489" s="233"/>
      <c r="CX489" s="233"/>
      <c r="CY489" s="233"/>
      <c r="CZ489" s="233"/>
      <c r="DA489" s="233"/>
      <c r="DB489" s="233"/>
      <c r="DC489" s="233"/>
      <c r="DD489" s="233"/>
    </row>
    <row r="490" spans="43:108" x14ac:dyDescent="0.25">
      <c r="AQ490" s="233"/>
      <c r="AR490" s="233"/>
      <c r="AS490" s="233"/>
      <c r="AT490" s="233"/>
      <c r="AU490" s="233"/>
      <c r="AV490" s="233"/>
      <c r="AW490" s="233"/>
      <c r="AX490" s="233"/>
      <c r="AY490" s="233"/>
      <c r="AZ490" s="233"/>
      <c r="BA490" s="233"/>
      <c r="BB490" s="233"/>
      <c r="BC490" s="233"/>
      <c r="BD490" s="233"/>
      <c r="BE490" s="233"/>
      <c r="BF490" s="233"/>
      <c r="BG490" s="233"/>
      <c r="BH490" s="233"/>
      <c r="BI490" s="233"/>
      <c r="BJ490" s="233"/>
      <c r="BK490" s="233"/>
      <c r="BL490" s="233"/>
      <c r="BM490" s="233"/>
      <c r="BN490" s="233"/>
      <c r="BO490" s="233"/>
      <c r="BP490" s="233"/>
      <c r="BQ490" s="233"/>
      <c r="BR490" s="233"/>
      <c r="BS490" s="233"/>
      <c r="BT490" s="233"/>
      <c r="BU490" s="233"/>
      <c r="BV490" s="233"/>
      <c r="BW490" s="233"/>
      <c r="BX490" s="233"/>
      <c r="BY490" s="233"/>
      <c r="BZ490" s="233"/>
      <c r="CA490" s="233"/>
      <c r="CM490" s="233"/>
      <c r="CN490" s="233"/>
      <c r="CO490" s="233"/>
      <c r="CP490" s="233"/>
      <c r="CQ490" s="233"/>
      <c r="CR490" s="233"/>
      <c r="CS490" s="233"/>
      <c r="CT490" s="233"/>
      <c r="CU490" s="233"/>
      <c r="CV490" s="233"/>
      <c r="CW490" s="233"/>
      <c r="CX490" s="233"/>
      <c r="CY490" s="233"/>
      <c r="CZ490" s="233"/>
      <c r="DA490" s="233"/>
      <c r="DB490" s="233"/>
      <c r="DC490" s="233"/>
      <c r="DD490" s="233"/>
    </row>
    <row r="491" spans="43:108" x14ac:dyDescent="0.25">
      <c r="AQ491" s="233"/>
      <c r="AR491" s="233"/>
      <c r="AS491" s="233"/>
      <c r="AT491" s="233"/>
      <c r="AU491" s="233"/>
      <c r="AV491" s="233"/>
      <c r="AW491" s="233"/>
      <c r="AX491" s="233"/>
      <c r="AY491" s="233"/>
      <c r="AZ491" s="233"/>
      <c r="BA491" s="233"/>
      <c r="BB491" s="233"/>
      <c r="BC491" s="233"/>
      <c r="BD491" s="233"/>
      <c r="BE491" s="233"/>
      <c r="BF491" s="233"/>
      <c r="BG491" s="233"/>
      <c r="BH491" s="233"/>
      <c r="BI491" s="233"/>
      <c r="BJ491" s="233"/>
      <c r="BK491" s="233"/>
      <c r="BL491" s="233"/>
      <c r="BM491" s="233"/>
      <c r="BN491" s="233"/>
      <c r="BO491" s="233"/>
      <c r="BP491" s="233"/>
      <c r="BQ491" s="233"/>
      <c r="BR491" s="233"/>
      <c r="BS491" s="233"/>
      <c r="BT491" s="233"/>
      <c r="BU491" s="233"/>
      <c r="BV491" s="233"/>
      <c r="BW491" s="233"/>
      <c r="BX491" s="233"/>
      <c r="BY491" s="233"/>
      <c r="BZ491" s="233"/>
      <c r="CA491" s="233"/>
    </row>
    <row r="492" spans="43:108" x14ac:dyDescent="0.25">
      <c r="AQ492" s="233"/>
      <c r="AR492" s="233"/>
      <c r="AS492" s="233"/>
      <c r="AT492" s="233"/>
      <c r="AU492" s="233"/>
      <c r="AV492" s="233"/>
      <c r="AW492" s="233"/>
      <c r="AX492" s="233"/>
      <c r="AY492" s="233"/>
      <c r="AZ492" s="233"/>
      <c r="BA492" s="233"/>
      <c r="BB492" s="233"/>
      <c r="BC492" s="233"/>
      <c r="BD492" s="233"/>
      <c r="BE492" s="233"/>
      <c r="BF492" s="233"/>
      <c r="BG492" s="233"/>
      <c r="BH492" s="233"/>
      <c r="BI492" s="233"/>
      <c r="BJ492" s="233"/>
      <c r="BK492" s="233"/>
      <c r="BL492" s="233"/>
      <c r="BM492" s="233"/>
      <c r="BN492" s="233"/>
      <c r="BO492" s="233"/>
      <c r="BP492" s="233"/>
      <c r="BQ492" s="233"/>
      <c r="BR492" s="233"/>
      <c r="BS492" s="233"/>
      <c r="BT492" s="233"/>
      <c r="BU492" s="233"/>
      <c r="BV492" s="233"/>
      <c r="BW492" s="233"/>
      <c r="BX492" s="233"/>
      <c r="BY492" s="233"/>
      <c r="BZ492" s="233"/>
      <c r="CA492" s="233"/>
    </row>
    <row r="493" spans="43:108" x14ac:dyDescent="0.25">
      <c r="AQ493" s="233"/>
      <c r="AR493" s="233"/>
      <c r="AS493" s="233"/>
      <c r="AT493" s="233"/>
      <c r="AU493" s="233"/>
      <c r="AV493" s="233"/>
      <c r="AW493" s="233"/>
      <c r="AX493" s="233"/>
      <c r="AY493" s="233"/>
      <c r="AZ493" s="233"/>
      <c r="BA493" s="233"/>
      <c r="BB493" s="233"/>
      <c r="BC493" s="233"/>
      <c r="BD493" s="233"/>
      <c r="BE493" s="233"/>
      <c r="BF493" s="233"/>
      <c r="BG493" s="233"/>
      <c r="BH493" s="233"/>
      <c r="BI493" s="233"/>
      <c r="BJ493" s="233"/>
      <c r="BK493" s="233"/>
      <c r="BL493" s="233"/>
      <c r="BM493" s="233"/>
      <c r="BN493" s="233"/>
      <c r="BO493" s="233"/>
      <c r="BP493" s="233"/>
      <c r="BQ493" s="233"/>
      <c r="BR493" s="233"/>
      <c r="BS493" s="233"/>
      <c r="BT493" s="233"/>
      <c r="BU493" s="233"/>
      <c r="BV493" s="233"/>
      <c r="BW493" s="233"/>
      <c r="BX493" s="233"/>
      <c r="BY493" s="233"/>
      <c r="BZ493" s="233"/>
      <c r="CA493" s="233"/>
    </row>
    <row r="494" spans="43:108" x14ac:dyDescent="0.25">
      <c r="AQ494" s="233"/>
      <c r="AR494" s="233"/>
      <c r="AS494" s="233"/>
      <c r="AT494" s="233"/>
      <c r="AU494" s="233"/>
      <c r="AV494" s="233"/>
      <c r="AW494" s="233"/>
      <c r="AX494" s="233"/>
      <c r="AY494" s="233"/>
      <c r="AZ494" s="233"/>
      <c r="BA494" s="233"/>
      <c r="BB494" s="233"/>
      <c r="BC494" s="233"/>
      <c r="BD494" s="233"/>
      <c r="BE494" s="233"/>
      <c r="BF494" s="233"/>
      <c r="BG494" s="233"/>
      <c r="BH494" s="233"/>
      <c r="BI494" s="233"/>
      <c r="BJ494" s="233"/>
      <c r="BK494" s="233"/>
      <c r="BL494" s="233"/>
      <c r="BM494" s="233"/>
      <c r="BN494" s="233"/>
      <c r="BO494" s="233"/>
      <c r="BP494" s="233"/>
      <c r="BQ494" s="233"/>
      <c r="BR494" s="233"/>
      <c r="BS494" s="233"/>
      <c r="BT494" s="233"/>
      <c r="BU494" s="233"/>
      <c r="BV494" s="233"/>
      <c r="BW494" s="233"/>
      <c r="BX494" s="233"/>
      <c r="BY494" s="233"/>
      <c r="BZ494" s="233"/>
      <c r="CA494" s="233"/>
    </row>
    <row r="495" spans="43:108" x14ac:dyDescent="0.25">
      <c r="AQ495" s="233"/>
      <c r="AR495" s="233"/>
      <c r="AS495" s="233"/>
      <c r="AT495" s="233"/>
      <c r="AU495" s="233"/>
      <c r="AV495" s="233"/>
      <c r="AW495" s="233"/>
      <c r="AX495" s="233"/>
      <c r="AY495" s="233"/>
      <c r="AZ495" s="233"/>
      <c r="BA495" s="233"/>
      <c r="BB495" s="233"/>
      <c r="BC495" s="233"/>
      <c r="BD495" s="233"/>
      <c r="BE495" s="233"/>
      <c r="BF495" s="233"/>
      <c r="BG495" s="233"/>
      <c r="BH495" s="233"/>
      <c r="BI495" s="233"/>
      <c r="BJ495" s="233"/>
      <c r="BK495" s="233"/>
      <c r="BL495" s="233"/>
      <c r="BM495" s="233"/>
      <c r="BN495" s="233"/>
      <c r="BO495" s="233"/>
      <c r="BP495" s="233"/>
      <c r="BQ495" s="233"/>
      <c r="BR495" s="233"/>
      <c r="BS495" s="233"/>
      <c r="BT495" s="233"/>
      <c r="BU495" s="233"/>
      <c r="BV495" s="233"/>
      <c r="BW495" s="233"/>
      <c r="BX495" s="233"/>
      <c r="BY495" s="233"/>
      <c r="BZ495" s="233"/>
      <c r="CA495" s="233"/>
    </row>
    <row r="496" spans="43:108" x14ac:dyDescent="0.25">
      <c r="AQ496" s="233"/>
      <c r="AR496" s="233"/>
      <c r="AS496" s="233"/>
      <c r="AT496" s="233"/>
      <c r="AU496" s="233"/>
      <c r="AV496" s="233"/>
      <c r="AW496" s="233"/>
      <c r="AX496" s="233"/>
      <c r="AY496" s="233"/>
      <c r="AZ496" s="233"/>
      <c r="BA496" s="233"/>
      <c r="BB496" s="233"/>
      <c r="BC496" s="233"/>
      <c r="BD496" s="233"/>
      <c r="BE496" s="233"/>
      <c r="BF496" s="233"/>
      <c r="BG496" s="233"/>
      <c r="BH496" s="233"/>
      <c r="BI496" s="233"/>
      <c r="BJ496" s="233"/>
      <c r="BK496" s="233"/>
      <c r="BL496" s="233"/>
      <c r="BM496" s="233"/>
      <c r="BN496" s="233"/>
      <c r="BO496" s="233"/>
      <c r="BP496" s="233"/>
      <c r="BQ496" s="233"/>
      <c r="BR496" s="233"/>
      <c r="BS496" s="233"/>
      <c r="BT496" s="233"/>
      <c r="BU496" s="233"/>
      <c r="BV496" s="233"/>
      <c r="BW496" s="233"/>
      <c r="BX496" s="233"/>
      <c r="BY496" s="233"/>
      <c r="BZ496" s="233"/>
      <c r="CA496" s="233"/>
    </row>
    <row r="497" spans="43:79" x14ac:dyDescent="0.25">
      <c r="AQ497" s="233"/>
      <c r="AR497" s="233"/>
      <c r="AS497" s="233"/>
      <c r="AT497" s="233"/>
      <c r="AU497" s="233"/>
      <c r="AV497" s="233"/>
      <c r="AW497" s="233"/>
      <c r="AX497" s="233"/>
      <c r="AY497" s="233"/>
      <c r="AZ497" s="233"/>
      <c r="BA497" s="233"/>
      <c r="BB497" s="233"/>
      <c r="BC497" s="233"/>
      <c r="BD497" s="233"/>
      <c r="BE497" s="233"/>
      <c r="BF497" s="233"/>
      <c r="BG497" s="233"/>
      <c r="BH497" s="233"/>
      <c r="BI497" s="233"/>
      <c r="BJ497" s="233"/>
      <c r="BK497" s="233"/>
      <c r="BL497" s="233"/>
      <c r="BM497" s="233"/>
      <c r="BN497" s="233"/>
      <c r="BO497" s="233"/>
      <c r="BP497" s="233"/>
      <c r="BQ497" s="233"/>
      <c r="BR497" s="233"/>
      <c r="BS497" s="233"/>
      <c r="BT497" s="233"/>
      <c r="BU497" s="233"/>
      <c r="BV497" s="233"/>
      <c r="BW497" s="233"/>
      <c r="BX497" s="233"/>
      <c r="BY497" s="233"/>
      <c r="BZ497" s="233"/>
      <c r="CA497" s="233"/>
    </row>
    <row r="498" spans="43:79" x14ac:dyDescent="0.25">
      <c r="AQ498" s="233"/>
      <c r="AR498" s="233"/>
      <c r="AS498" s="233"/>
      <c r="AT498" s="233"/>
      <c r="AU498" s="233"/>
      <c r="AV498" s="233"/>
      <c r="AW498" s="233"/>
      <c r="AX498" s="233"/>
      <c r="AY498" s="233"/>
      <c r="AZ498" s="233"/>
      <c r="BA498" s="233"/>
      <c r="BB498" s="233"/>
      <c r="BC498" s="233"/>
      <c r="BD498" s="233"/>
      <c r="BE498" s="233"/>
      <c r="BF498" s="233"/>
      <c r="BG498" s="233"/>
      <c r="BH498" s="233"/>
      <c r="BI498" s="233"/>
      <c r="BJ498" s="233"/>
      <c r="BK498" s="233"/>
      <c r="BL498" s="233"/>
      <c r="BM498" s="233"/>
      <c r="BN498" s="233"/>
      <c r="BO498" s="233"/>
      <c r="BP498" s="233"/>
      <c r="BQ498" s="233"/>
      <c r="BR498" s="233"/>
      <c r="BS498" s="233"/>
      <c r="BT498" s="233"/>
      <c r="BU498" s="233"/>
      <c r="BV498" s="233"/>
      <c r="BW498" s="233"/>
      <c r="BX498" s="233"/>
      <c r="BY498" s="233"/>
      <c r="BZ498" s="233"/>
      <c r="CA498" s="233"/>
    </row>
    <row r="499" spans="43:79" x14ac:dyDescent="0.25">
      <c r="AQ499" s="233"/>
      <c r="AR499" s="233"/>
      <c r="AS499" s="233"/>
      <c r="AT499" s="233"/>
      <c r="AU499" s="233"/>
      <c r="AV499" s="233"/>
      <c r="AW499" s="233"/>
      <c r="AX499" s="233"/>
      <c r="AY499" s="233"/>
      <c r="AZ499" s="233"/>
      <c r="BA499" s="233"/>
      <c r="BB499" s="233"/>
      <c r="BC499" s="233"/>
      <c r="BD499" s="233"/>
      <c r="BE499" s="233"/>
      <c r="BF499" s="233"/>
      <c r="BG499" s="233"/>
      <c r="BH499" s="233"/>
      <c r="BI499" s="233"/>
      <c r="BJ499" s="233"/>
      <c r="BK499" s="233"/>
      <c r="BL499" s="233"/>
      <c r="BM499" s="233"/>
      <c r="BN499" s="233"/>
      <c r="BO499" s="233"/>
      <c r="BP499" s="233"/>
      <c r="BQ499" s="233"/>
      <c r="BR499" s="233"/>
      <c r="BS499" s="233"/>
      <c r="BT499" s="233"/>
      <c r="BU499" s="233"/>
      <c r="BV499" s="233"/>
      <c r="BW499" s="233"/>
      <c r="BX499" s="233"/>
      <c r="BY499" s="233"/>
      <c r="BZ499" s="233"/>
      <c r="CA499" s="233"/>
    </row>
    <row r="500" spans="43:79" x14ac:dyDescent="0.25">
      <c r="AQ500" s="233"/>
      <c r="AR500" s="233"/>
      <c r="AS500" s="233"/>
      <c r="AT500" s="233"/>
      <c r="AU500" s="233"/>
      <c r="AV500" s="233"/>
      <c r="AW500" s="233"/>
      <c r="AX500" s="233"/>
      <c r="AY500" s="233"/>
      <c r="AZ500" s="233"/>
      <c r="BA500" s="233"/>
      <c r="BB500" s="233"/>
      <c r="BC500" s="233"/>
      <c r="BD500" s="233"/>
      <c r="BE500" s="233"/>
      <c r="BF500" s="233"/>
      <c r="BG500" s="233"/>
      <c r="BH500" s="233"/>
      <c r="BI500" s="233"/>
      <c r="BJ500" s="233"/>
      <c r="BK500" s="233"/>
      <c r="BL500" s="233"/>
      <c r="BM500" s="233"/>
      <c r="BN500" s="233"/>
      <c r="BO500" s="233"/>
      <c r="BP500" s="233"/>
      <c r="BQ500" s="233"/>
      <c r="BR500" s="233"/>
      <c r="BS500" s="233"/>
      <c r="BT500" s="233"/>
      <c r="BU500" s="233"/>
      <c r="BV500" s="233"/>
      <c r="BW500" s="233"/>
      <c r="BX500" s="233"/>
      <c r="BY500" s="233"/>
      <c r="BZ500" s="233"/>
      <c r="CA500" s="233"/>
    </row>
    <row r="501" spans="43:79" x14ac:dyDescent="0.25">
      <c r="AQ501" s="233"/>
      <c r="AR501" s="233"/>
      <c r="AS501" s="233"/>
      <c r="AT501" s="233"/>
      <c r="AU501" s="233"/>
      <c r="AV501" s="233"/>
      <c r="AW501" s="233"/>
      <c r="AX501" s="233"/>
      <c r="AY501" s="233"/>
      <c r="AZ501" s="233"/>
      <c r="BA501" s="233"/>
      <c r="BB501" s="233"/>
      <c r="BC501" s="233"/>
      <c r="BD501" s="233"/>
      <c r="BE501" s="233"/>
      <c r="BF501" s="233"/>
      <c r="BG501" s="233"/>
      <c r="BH501" s="233"/>
      <c r="BI501" s="233"/>
      <c r="BJ501" s="233"/>
      <c r="BK501" s="233"/>
      <c r="BL501" s="233"/>
      <c r="BM501" s="233"/>
      <c r="BN501" s="233"/>
      <c r="BO501" s="233"/>
      <c r="BP501" s="233"/>
      <c r="BQ501" s="233"/>
      <c r="BR501" s="233"/>
      <c r="BS501" s="233"/>
      <c r="BT501" s="233"/>
      <c r="BU501" s="233"/>
      <c r="BV501" s="233"/>
      <c r="BW501" s="233"/>
      <c r="BX501" s="233"/>
      <c r="BY501" s="233"/>
      <c r="BZ501" s="233"/>
      <c r="CA501" s="233"/>
    </row>
    <row r="502" spans="43:79" x14ac:dyDescent="0.25">
      <c r="AQ502" s="233"/>
      <c r="AR502" s="233"/>
      <c r="AS502" s="233"/>
      <c r="AT502" s="233"/>
      <c r="AU502" s="233"/>
      <c r="AV502" s="233"/>
      <c r="AW502" s="233"/>
      <c r="AX502" s="233"/>
      <c r="AY502" s="233"/>
      <c r="AZ502" s="233"/>
      <c r="BA502" s="233"/>
      <c r="BB502" s="233"/>
      <c r="BC502" s="233"/>
      <c r="BD502" s="233"/>
      <c r="BE502" s="233"/>
      <c r="BF502" s="233"/>
      <c r="BG502" s="233"/>
      <c r="BH502" s="233"/>
      <c r="BI502" s="233"/>
      <c r="BJ502" s="233"/>
      <c r="BK502" s="233"/>
      <c r="BL502" s="233"/>
      <c r="BM502" s="233"/>
      <c r="BN502" s="233"/>
      <c r="BO502" s="233"/>
      <c r="BP502" s="233"/>
      <c r="BQ502" s="233"/>
      <c r="BR502" s="233"/>
      <c r="BS502" s="233"/>
      <c r="BT502" s="233"/>
      <c r="BU502" s="233"/>
      <c r="BV502" s="233"/>
      <c r="BW502" s="233"/>
      <c r="BX502" s="233"/>
      <c r="BY502" s="233"/>
      <c r="BZ502" s="233"/>
      <c r="CA502" s="233"/>
    </row>
    <row r="503" spans="43:79" x14ac:dyDescent="0.25">
      <c r="AQ503" s="233"/>
      <c r="AR503" s="233"/>
      <c r="AS503" s="233"/>
      <c r="AT503" s="233"/>
      <c r="AU503" s="233"/>
      <c r="AV503" s="233"/>
      <c r="AW503" s="233"/>
      <c r="AX503" s="233"/>
      <c r="AY503" s="233"/>
      <c r="AZ503" s="233"/>
      <c r="BA503" s="233"/>
      <c r="BB503" s="233"/>
      <c r="BC503" s="233"/>
      <c r="BD503" s="233"/>
      <c r="BE503" s="233"/>
      <c r="BF503" s="233"/>
      <c r="BG503" s="233"/>
      <c r="BH503" s="233"/>
      <c r="BI503" s="233"/>
      <c r="BJ503" s="233"/>
      <c r="BK503" s="233"/>
      <c r="BL503" s="233"/>
      <c r="BM503" s="233"/>
      <c r="BN503" s="233"/>
      <c r="BO503" s="233"/>
      <c r="BP503" s="233"/>
      <c r="BQ503" s="233"/>
      <c r="BR503" s="233"/>
      <c r="BS503" s="233"/>
      <c r="BT503" s="233"/>
      <c r="BU503" s="233"/>
      <c r="BV503" s="233"/>
      <c r="BW503" s="233"/>
      <c r="BX503" s="233"/>
      <c r="BY503" s="233"/>
      <c r="BZ503" s="233"/>
      <c r="CA503" s="233"/>
    </row>
    <row r="504" spans="43:79" x14ac:dyDescent="0.25">
      <c r="AQ504" s="233"/>
      <c r="AR504" s="233"/>
      <c r="AS504" s="233"/>
      <c r="AT504" s="233"/>
      <c r="AU504" s="233"/>
      <c r="AV504" s="233"/>
      <c r="AW504" s="233"/>
      <c r="AX504" s="233"/>
      <c r="AY504" s="233"/>
      <c r="AZ504" s="233"/>
      <c r="BA504" s="233"/>
      <c r="BB504" s="233"/>
      <c r="BC504" s="233"/>
      <c r="BD504" s="233"/>
      <c r="BE504" s="233"/>
      <c r="BF504" s="233"/>
      <c r="BG504" s="233"/>
      <c r="BH504" s="233"/>
      <c r="BI504" s="233"/>
      <c r="BJ504" s="233"/>
      <c r="BK504" s="233"/>
      <c r="BL504" s="233"/>
      <c r="BM504" s="233"/>
      <c r="BN504" s="233"/>
      <c r="BO504" s="233"/>
      <c r="BP504" s="233"/>
      <c r="BQ504" s="233"/>
      <c r="BR504" s="233"/>
      <c r="BS504" s="233"/>
      <c r="BT504" s="233"/>
      <c r="BU504" s="233"/>
      <c r="BV504" s="233"/>
      <c r="BW504" s="233"/>
      <c r="BX504" s="233"/>
      <c r="BY504" s="233"/>
      <c r="BZ504" s="233"/>
      <c r="CA504" s="233"/>
    </row>
    <row r="505" spans="43:79" x14ac:dyDescent="0.25">
      <c r="AQ505" s="233"/>
      <c r="AR505" s="233"/>
      <c r="AS505" s="233"/>
      <c r="AT505" s="233"/>
      <c r="AU505" s="233"/>
      <c r="AV505" s="233"/>
      <c r="AW505" s="233"/>
      <c r="AX505" s="233"/>
      <c r="AY505" s="233"/>
      <c r="AZ505" s="233"/>
      <c r="BA505" s="233"/>
      <c r="BB505" s="233"/>
      <c r="BC505" s="233"/>
      <c r="BD505" s="233"/>
      <c r="BE505" s="233"/>
      <c r="BF505" s="233"/>
      <c r="BG505" s="233"/>
      <c r="BH505" s="233"/>
      <c r="BI505" s="233"/>
      <c r="BJ505" s="233"/>
      <c r="BK505" s="233"/>
      <c r="BL505" s="233"/>
      <c r="BM505" s="233"/>
      <c r="BN505" s="233"/>
      <c r="BO505" s="233"/>
      <c r="BP505" s="233"/>
      <c r="BQ505" s="233"/>
      <c r="BR505" s="233"/>
      <c r="BS505" s="233"/>
      <c r="BT505" s="233"/>
      <c r="BU505" s="233"/>
      <c r="BV505" s="233"/>
      <c r="BW505" s="233"/>
      <c r="BX505" s="233"/>
      <c r="BY505" s="233"/>
      <c r="BZ505" s="233"/>
      <c r="CA505" s="233"/>
    </row>
    <row r="506" spans="43:79" x14ac:dyDescent="0.25">
      <c r="AQ506" s="233"/>
      <c r="AR506" s="233"/>
      <c r="AS506" s="233"/>
      <c r="AT506" s="233"/>
      <c r="AU506" s="233"/>
      <c r="AV506" s="233"/>
      <c r="AW506" s="233"/>
      <c r="AX506" s="233"/>
      <c r="AY506" s="233"/>
      <c r="AZ506" s="233"/>
      <c r="BA506" s="233"/>
      <c r="BB506" s="233"/>
      <c r="BC506" s="233"/>
      <c r="BD506" s="233"/>
      <c r="BE506" s="233"/>
      <c r="BF506" s="233"/>
      <c r="BG506" s="233"/>
      <c r="BH506" s="233"/>
      <c r="BI506" s="233"/>
      <c r="BJ506" s="233"/>
      <c r="BK506" s="233"/>
      <c r="BL506" s="233"/>
      <c r="BM506" s="233"/>
      <c r="BN506" s="233"/>
      <c r="BO506" s="233"/>
      <c r="BP506" s="233"/>
      <c r="BQ506" s="233"/>
      <c r="BR506" s="233"/>
      <c r="BS506" s="233"/>
      <c r="BT506" s="233"/>
      <c r="BU506" s="233"/>
      <c r="BV506" s="233"/>
      <c r="BW506" s="233"/>
      <c r="BX506" s="233"/>
      <c r="BY506" s="233"/>
      <c r="BZ506" s="233"/>
      <c r="CA506" s="233"/>
    </row>
    <row r="507" spans="43:79" x14ac:dyDescent="0.25">
      <c r="AQ507" s="233"/>
      <c r="AR507" s="233"/>
      <c r="AS507" s="233"/>
      <c r="AT507" s="233"/>
      <c r="AU507" s="233"/>
      <c r="AV507" s="233"/>
      <c r="AW507" s="233"/>
      <c r="AX507" s="233"/>
      <c r="AY507" s="233"/>
      <c r="AZ507" s="233"/>
      <c r="BA507" s="233"/>
      <c r="BB507" s="233"/>
      <c r="BC507" s="233"/>
      <c r="BD507" s="233"/>
      <c r="BE507" s="233"/>
      <c r="BF507" s="233"/>
      <c r="BG507" s="233"/>
      <c r="BH507" s="233"/>
      <c r="BI507" s="233"/>
      <c r="BJ507" s="233"/>
      <c r="BK507" s="233"/>
      <c r="BL507" s="233"/>
      <c r="BM507" s="233"/>
      <c r="BN507" s="233"/>
      <c r="BO507" s="233"/>
      <c r="BP507" s="233"/>
      <c r="BQ507" s="233"/>
      <c r="BR507" s="233"/>
      <c r="BS507" s="233"/>
      <c r="BT507" s="233"/>
      <c r="BU507" s="233"/>
      <c r="BV507" s="233"/>
      <c r="BW507" s="233"/>
      <c r="BX507" s="233"/>
      <c r="BY507" s="233"/>
      <c r="BZ507" s="233"/>
      <c r="CA507" s="233"/>
    </row>
    <row r="508" spans="43:79" x14ac:dyDescent="0.25">
      <c r="AQ508" s="233"/>
      <c r="AR508" s="233"/>
      <c r="AS508" s="233"/>
      <c r="AT508" s="233"/>
      <c r="AU508" s="233"/>
      <c r="AV508" s="233"/>
      <c r="AW508" s="233"/>
      <c r="AX508" s="233"/>
      <c r="AY508" s="233"/>
      <c r="AZ508" s="233"/>
      <c r="BA508" s="233"/>
      <c r="BB508" s="233"/>
      <c r="BC508" s="233"/>
      <c r="BD508" s="233"/>
      <c r="BE508" s="233"/>
      <c r="BF508" s="233"/>
      <c r="BG508" s="233"/>
      <c r="BH508" s="233"/>
      <c r="BI508" s="233"/>
      <c r="BJ508" s="233"/>
      <c r="BK508" s="233"/>
      <c r="BL508" s="233"/>
      <c r="BM508" s="233"/>
      <c r="BN508" s="233"/>
      <c r="BO508" s="233"/>
      <c r="BP508" s="233"/>
      <c r="BQ508" s="233"/>
      <c r="BR508" s="233"/>
      <c r="BS508" s="233"/>
      <c r="BT508" s="233"/>
      <c r="BU508" s="233"/>
      <c r="BV508" s="233"/>
      <c r="BW508" s="233"/>
      <c r="BX508" s="233"/>
      <c r="BY508" s="233"/>
      <c r="BZ508" s="233"/>
      <c r="CA508" s="233"/>
    </row>
    <row r="509" spans="43:79" x14ac:dyDescent="0.25">
      <c r="AQ509" s="233"/>
      <c r="AR509" s="233"/>
      <c r="AS509" s="233"/>
      <c r="AT509" s="233"/>
      <c r="AU509" s="233"/>
      <c r="AV509" s="233"/>
      <c r="AW509" s="233"/>
      <c r="AX509" s="233"/>
      <c r="AY509" s="233"/>
      <c r="AZ509" s="233"/>
      <c r="BA509" s="233"/>
      <c r="BB509" s="233"/>
      <c r="BC509" s="233"/>
      <c r="BD509" s="233"/>
      <c r="BE509" s="233"/>
      <c r="BF509" s="233"/>
      <c r="BG509" s="233"/>
      <c r="BH509" s="233"/>
      <c r="BI509" s="233"/>
      <c r="BJ509" s="233"/>
      <c r="BK509" s="233"/>
      <c r="BL509" s="233"/>
      <c r="BM509" s="233"/>
      <c r="BN509" s="233"/>
      <c r="BO509" s="233"/>
      <c r="BP509" s="233"/>
      <c r="BQ509" s="233"/>
      <c r="BR509" s="233"/>
      <c r="BS509" s="233"/>
      <c r="BT509" s="233"/>
      <c r="BU509" s="233"/>
      <c r="BV509" s="233"/>
      <c r="BW509" s="233"/>
      <c r="BX509" s="233"/>
      <c r="BY509" s="233"/>
      <c r="BZ509" s="233"/>
      <c r="CA509" s="233"/>
    </row>
    <row r="510" spans="43:79" x14ac:dyDescent="0.25">
      <c r="AQ510" s="233"/>
      <c r="AR510" s="233"/>
      <c r="AS510" s="233"/>
      <c r="AT510" s="233"/>
      <c r="AU510" s="233"/>
      <c r="AV510" s="233"/>
      <c r="AW510" s="233"/>
      <c r="AX510" s="233"/>
      <c r="AY510" s="233"/>
      <c r="AZ510" s="233"/>
      <c r="BA510" s="233"/>
      <c r="BB510" s="233"/>
      <c r="BC510" s="233"/>
      <c r="BD510" s="233"/>
      <c r="BE510" s="233"/>
      <c r="BF510" s="233"/>
      <c r="BG510" s="233"/>
      <c r="BH510" s="233"/>
      <c r="BI510" s="233"/>
      <c r="BJ510" s="233"/>
      <c r="BK510" s="233"/>
      <c r="BL510" s="233"/>
      <c r="BM510" s="233"/>
      <c r="BN510" s="233"/>
      <c r="BO510" s="233"/>
      <c r="BP510" s="233"/>
      <c r="BQ510" s="233"/>
      <c r="BR510" s="233"/>
      <c r="BS510" s="233"/>
      <c r="BT510" s="233"/>
      <c r="BU510" s="233"/>
      <c r="BV510" s="233"/>
      <c r="BW510" s="233"/>
      <c r="BX510" s="233"/>
      <c r="BY510" s="233"/>
      <c r="BZ510" s="233"/>
      <c r="CA510" s="233"/>
    </row>
    <row r="511" spans="43:79" x14ac:dyDescent="0.25">
      <c r="AQ511" s="233"/>
      <c r="AR511" s="233"/>
      <c r="AS511" s="233"/>
      <c r="AT511" s="233"/>
      <c r="AU511" s="233"/>
      <c r="AV511" s="233"/>
      <c r="AW511" s="233"/>
      <c r="AX511" s="233"/>
      <c r="AY511" s="233"/>
      <c r="AZ511" s="233"/>
      <c r="BA511" s="233"/>
      <c r="BB511" s="233"/>
      <c r="BC511" s="233"/>
      <c r="BD511" s="233"/>
      <c r="BE511" s="233"/>
      <c r="BF511" s="233"/>
      <c r="BG511" s="233"/>
      <c r="BH511" s="233"/>
      <c r="BI511" s="233"/>
      <c r="BJ511" s="233"/>
      <c r="BK511" s="233"/>
      <c r="BL511" s="233"/>
      <c r="BM511" s="233"/>
      <c r="BN511" s="233"/>
      <c r="BO511" s="233"/>
      <c r="BP511" s="233"/>
      <c r="BQ511" s="233"/>
      <c r="BR511" s="233"/>
      <c r="BS511" s="233"/>
      <c r="BT511" s="233"/>
      <c r="BU511" s="233"/>
      <c r="BV511" s="233"/>
      <c r="BW511" s="233"/>
      <c r="BX511" s="233"/>
      <c r="BY511" s="233"/>
      <c r="BZ511" s="233"/>
      <c r="CA511" s="233"/>
    </row>
    <row r="512" spans="43:79" x14ac:dyDescent="0.25">
      <c r="AQ512" s="233"/>
      <c r="AR512" s="233"/>
      <c r="AS512" s="233"/>
      <c r="AT512" s="233"/>
      <c r="AU512" s="233"/>
      <c r="AV512" s="233"/>
      <c r="AW512" s="233"/>
      <c r="AX512" s="233"/>
      <c r="AY512" s="233"/>
      <c r="AZ512" s="233"/>
      <c r="BA512" s="233"/>
      <c r="BB512" s="233"/>
      <c r="BC512" s="233"/>
      <c r="BD512" s="233"/>
      <c r="BE512" s="233"/>
      <c r="BF512" s="233"/>
      <c r="BG512" s="233"/>
      <c r="BH512" s="233"/>
      <c r="BI512" s="233"/>
      <c r="BJ512" s="233"/>
      <c r="BK512" s="233"/>
      <c r="BL512" s="233"/>
      <c r="BM512" s="233"/>
      <c r="BN512" s="233"/>
      <c r="BO512" s="233"/>
      <c r="BP512" s="233"/>
      <c r="BQ512" s="233"/>
      <c r="BR512" s="233"/>
      <c r="BS512" s="233"/>
      <c r="BT512" s="233"/>
      <c r="BU512" s="233"/>
      <c r="BV512" s="233"/>
      <c r="BW512" s="233"/>
      <c r="BX512" s="233"/>
      <c r="BY512" s="233"/>
      <c r="BZ512" s="233"/>
      <c r="CA512" s="233"/>
    </row>
    <row r="513" spans="43:79" x14ac:dyDescent="0.25">
      <c r="AQ513" s="233"/>
      <c r="AR513" s="233"/>
      <c r="AS513" s="233"/>
      <c r="AT513" s="233"/>
      <c r="AU513" s="233"/>
      <c r="AV513" s="233"/>
      <c r="AW513" s="233"/>
      <c r="AX513" s="233"/>
      <c r="AY513" s="233"/>
      <c r="AZ513" s="233"/>
      <c r="BA513" s="233"/>
      <c r="BB513" s="233"/>
      <c r="BC513" s="233"/>
      <c r="BD513" s="233"/>
      <c r="BE513" s="233"/>
      <c r="BF513" s="233"/>
      <c r="BG513" s="233"/>
      <c r="BH513" s="233"/>
      <c r="BI513" s="233"/>
      <c r="BJ513" s="233"/>
      <c r="BK513" s="233"/>
      <c r="BL513" s="233"/>
      <c r="BM513" s="233"/>
      <c r="BN513" s="233"/>
      <c r="BO513" s="233"/>
      <c r="BP513" s="233"/>
      <c r="BQ513" s="233"/>
      <c r="BR513" s="233"/>
      <c r="BS513" s="233"/>
      <c r="BT513" s="233"/>
      <c r="BU513" s="233"/>
      <c r="BV513" s="233"/>
      <c r="BW513" s="233"/>
      <c r="BX513" s="233"/>
      <c r="BY513" s="233"/>
      <c r="BZ513" s="233"/>
      <c r="CA513" s="233"/>
    </row>
    <row r="514" spans="43:79" x14ac:dyDescent="0.25">
      <c r="AQ514" s="233"/>
      <c r="AR514" s="233"/>
      <c r="AS514" s="233"/>
      <c r="AT514" s="233"/>
      <c r="AU514" s="233"/>
      <c r="AV514" s="233"/>
      <c r="AW514" s="233"/>
      <c r="AX514" s="233"/>
      <c r="AY514" s="233"/>
      <c r="AZ514" s="233"/>
      <c r="BA514" s="233"/>
      <c r="BB514" s="233"/>
      <c r="BC514" s="233"/>
      <c r="BD514" s="233"/>
      <c r="BE514" s="233"/>
      <c r="BF514" s="233"/>
      <c r="BG514" s="233"/>
      <c r="BH514" s="233"/>
      <c r="BI514" s="233"/>
      <c r="BJ514" s="233"/>
      <c r="BK514" s="233"/>
      <c r="BL514" s="233"/>
      <c r="BM514" s="233"/>
      <c r="BN514" s="233"/>
      <c r="BO514" s="233"/>
      <c r="BP514" s="233"/>
      <c r="BQ514" s="233"/>
      <c r="BR514" s="233"/>
      <c r="BS514" s="233"/>
      <c r="BT514" s="233"/>
      <c r="BU514" s="233"/>
      <c r="BV514" s="233"/>
      <c r="BW514" s="233"/>
      <c r="BX514" s="233"/>
      <c r="BY514" s="233"/>
      <c r="BZ514" s="233"/>
      <c r="CA514" s="233"/>
    </row>
    <row r="515" spans="43:79" x14ac:dyDescent="0.25">
      <c r="AQ515" s="233"/>
      <c r="AR515" s="233"/>
      <c r="AS515" s="233"/>
      <c r="AT515" s="233"/>
      <c r="AU515" s="233"/>
      <c r="AV515" s="233"/>
      <c r="AW515" s="233"/>
      <c r="AX515" s="233"/>
      <c r="AY515" s="233"/>
      <c r="AZ515" s="233"/>
      <c r="BA515" s="233"/>
      <c r="BB515" s="233"/>
      <c r="BC515" s="233"/>
      <c r="BD515" s="233"/>
      <c r="BE515" s="233"/>
      <c r="BF515" s="233"/>
      <c r="BG515" s="233"/>
      <c r="BH515" s="233"/>
      <c r="BI515" s="233"/>
      <c r="BJ515" s="233"/>
      <c r="BK515" s="233"/>
      <c r="BL515" s="233"/>
      <c r="BM515" s="233"/>
      <c r="BN515" s="233"/>
      <c r="BO515" s="233"/>
      <c r="BP515" s="233"/>
      <c r="BQ515" s="233"/>
      <c r="BR515" s="233"/>
      <c r="BS515" s="233"/>
      <c r="BT515" s="233"/>
      <c r="BU515" s="233"/>
      <c r="BV515" s="233"/>
      <c r="BW515" s="233"/>
      <c r="BX515" s="233"/>
      <c r="BY515" s="233"/>
      <c r="BZ515" s="233"/>
      <c r="CA515" s="233"/>
    </row>
    <row r="516" spans="43:79" x14ac:dyDescent="0.25">
      <c r="AQ516" s="233"/>
      <c r="AR516" s="233"/>
      <c r="AS516" s="233"/>
      <c r="AT516" s="233"/>
      <c r="AU516" s="233"/>
      <c r="AV516" s="233"/>
      <c r="AW516" s="233"/>
      <c r="AX516" s="233"/>
      <c r="AY516" s="233"/>
      <c r="AZ516" s="233"/>
      <c r="BA516" s="233"/>
      <c r="BB516" s="233"/>
      <c r="BC516" s="233"/>
      <c r="BD516" s="233"/>
      <c r="BE516" s="233"/>
      <c r="BF516" s="233"/>
      <c r="BG516" s="233"/>
      <c r="BH516" s="233"/>
      <c r="BI516" s="233"/>
      <c r="BJ516" s="233"/>
      <c r="BK516" s="233"/>
      <c r="BL516" s="233"/>
      <c r="BM516" s="233"/>
      <c r="BN516" s="233"/>
      <c r="BO516" s="233"/>
      <c r="BP516" s="233"/>
      <c r="BQ516" s="233"/>
      <c r="BR516" s="233"/>
      <c r="BS516" s="233"/>
      <c r="BT516" s="233"/>
      <c r="BU516" s="233"/>
      <c r="BV516" s="233"/>
      <c r="BW516" s="233"/>
      <c r="BX516" s="233"/>
      <c r="BY516" s="233"/>
      <c r="BZ516" s="233"/>
      <c r="CA516" s="233"/>
    </row>
    <row r="517" spans="43:79" x14ac:dyDescent="0.25">
      <c r="AQ517" s="233"/>
      <c r="AR517" s="233"/>
      <c r="AS517" s="233"/>
      <c r="AT517" s="233"/>
      <c r="AU517" s="233"/>
      <c r="AV517" s="233"/>
      <c r="AW517" s="233"/>
      <c r="AX517" s="233"/>
      <c r="AY517" s="233"/>
      <c r="AZ517" s="233"/>
      <c r="BA517" s="233"/>
      <c r="BB517" s="233"/>
      <c r="BC517" s="233"/>
      <c r="BD517" s="233"/>
      <c r="BE517" s="233"/>
      <c r="BF517" s="233"/>
      <c r="BG517" s="233"/>
      <c r="BH517" s="233"/>
      <c r="BI517" s="233"/>
      <c r="BJ517" s="233"/>
      <c r="BK517" s="233"/>
      <c r="BL517" s="233"/>
      <c r="BM517" s="233"/>
      <c r="BN517" s="233"/>
      <c r="BO517" s="233"/>
      <c r="BP517" s="233"/>
      <c r="BQ517" s="233"/>
      <c r="BR517" s="233"/>
      <c r="BS517" s="233"/>
      <c r="BT517" s="233"/>
      <c r="BU517" s="233"/>
      <c r="BV517" s="233"/>
      <c r="BW517" s="233"/>
      <c r="BX517" s="233"/>
      <c r="BY517" s="233"/>
      <c r="BZ517" s="233"/>
      <c r="CA517" s="233"/>
    </row>
    <row r="518" spans="43:79" x14ac:dyDescent="0.25">
      <c r="AQ518" s="233"/>
      <c r="AR518" s="233"/>
      <c r="AS518" s="233"/>
      <c r="AT518" s="233"/>
      <c r="AU518" s="233"/>
      <c r="AV518" s="233"/>
      <c r="AW518" s="233"/>
      <c r="AX518" s="233"/>
      <c r="AY518" s="233"/>
      <c r="AZ518" s="233"/>
      <c r="BA518" s="233"/>
      <c r="BB518" s="233"/>
      <c r="BC518" s="233"/>
      <c r="BD518" s="233"/>
      <c r="BE518" s="233"/>
      <c r="BF518" s="233"/>
      <c r="BG518" s="233"/>
      <c r="BH518" s="233"/>
      <c r="BI518" s="233"/>
      <c r="BJ518" s="233"/>
      <c r="BK518" s="233"/>
      <c r="BL518" s="233"/>
      <c r="BM518" s="233"/>
      <c r="BN518" s="233"/>
      <c r="BO518" s="233"/>
      <c r="BP518" s="233"/>
      <c r="BQ518" s="233"/>
      <c r="BR518" s="233"/>
      <c r="BS518" s="233"/>
      <c r="BT518" s="233"/>
      <c r="BU518" s="233"/>
      <c r="BV518" s="233"/>
      <c r="BW518" s="233"/>
      <c r="BX518" s="233"/>
      <c r="BY518" s="233"/>
      <c r="BZ518" s="233"/>
      <c r="CA518" s="233"/>
    </row>
    <row r="519" spans="43:79" x14ac:dyDescent="0.25">
      <c r="AQ519" s="233"/>
      <c r="AR519" s="233"/>
      <c r="AS519" s="233"/>
      <c r="AT519" s="233"/>
      <c r="AU519" s="233"/>
      <c r="AV519" s="233"/>
      <c r="AW519" s="233"/>
      <c r="AX519" s="233"/>
      <c r="AY519" s="233"/>
      <c r="AZ519" s="233"/>
      <c r="BA519" s="233"/>
      <c r="BB519" s="233"/>
      <c r="BC519" s="233"/>
      <c r="BD519" s="233"/>
      <c r="BE519" s="233"/>
      <c r="BF519" s="233"/>
      <c r="BG519" s="233"/>
      <c r="BH519" s="233"/>
      <c r="BI519" s="233"/>
      <c r="BJ519" s="233"/>
      <c r="BK519" s="233"/>
      <c r="BL519" s="233"/>
      <c r="BM519" s="233"/>
      <c r="BN519" s="233"/>
      <c r="BO519" s="233"/>
      <c r="BP519" s="233"/>
      <c r="BQ519" s="233"/>
      <c r="BR519" s="233"/>
      <c r="BS519" s="233"/>
      <c r="BT519" s="233"/>
      <c r="BU519" s="233"/>
      <c r="BV519" s="233"/>
      <c r="BW519" s="233"/>
      <c r="BX519" s="233"/>
      <c r="BY519" s="233"/>
      <c r="BZ519" s="233"/>
      <c r="CA519" s="233"/>
    </row>
    <row r="520" spans="43:79" x14ac:dyDescent="0.25">
      <c r="AQ520" s="233"/>
      <c r="AR520" s="233"/>
      <c r="AS520" s="233"/>
      <c r="AT520" s="233"/>
      <c r="AU520" s="233"/>
      <c r="AV520" s="233"/>
      <c r="AW520" s="233"/>
      <c r="AX520" s="233"/>
      <c r="AY520" s="233"/>
      <c r="AZ520" s="233"/>
      <c r="BA520" s="233"/>
      <c r="BB520" s="233"/>
      <c r="BC520" s="233"/>
      <c r="BD520" s="233"/>
      <c r="BE520" s="233"/>
      <c r="BF520" s="233"/>
      <c r="BG520" s="233"/>
      <c r="BH520" s="233"/>
      <c r="BI520" s="233"/>
      <c r="BJ520" s="233"/>
      <c r="BK520" s="233"/>
      <c r="BL520" s="233"/>
      <c r="BM520" s="233"/>
      <c r="BN520" s="233"/>
      <c r="BO520" s="233"/>
      <c r="BP520" s="233"/>
      <c r="BQ520" s="233"/>
      <c r="BR520" s="233"/>
      <c r="BS520" s="233"/>
      <c r="BT520" s="233"/>
      <c r="BU520" s="233"/>
      <c r="BV520" s="233"/>
      <c r="BW520" s="233"/>
      <c r="BX520" s="233"/>
      <c r="BY520" s="233"/>
      <c r="BZ520" s="233"/>
      <c r="CA520" s="233"/>
    </row>
    <row r="521" spans="43:79" x14ac:dyDescent="0.25">
      <c r="AQ521" s="233"/>
      <c r="AR521" s="233"/>
      <c r="AS521" s="233"/>
      <c r="AT521" s="233"/>
      <c r="AU521" s="233"/>
      <c r="AV521" s="233"/>
      <c r="AW521" s="233"/>
      <c r="AX521" s="233"/>
      <c r="AY521" s="233"/>
      <c r="AZ521" s="233"/>
      <c r="BA521" s="233"/>
      <c r="BB521" s="233"/>
      <c r="BC521" s="233"/>
      <c r="BD521" s="233"/>
      <c r="BE521" s="233"/>
      <c r="BF521" s="233"/>
      <c r="BG521" s="233"/>
      <c r="BH521" s="233"/>
      <c r="BI521" s="233"/>
      <c r="BJ521" s="233"/>
      <c r="BK521" s="233"/>
      <c r="BL521" s="233"/>
      <c r="BM521" s="233"/>
      <c r="BN521" s="233"/>
      <c r="BO521" s="233"/>
      <c r="BP521" s="233"/>
      <c r="BQ521" s="233"/>
      <c r="BR521" s="233"/>
      <c r="BS521" s="233"/>
      <c r="BT521" s="233"/>
      <c r="BU521" s="233"/>
      <c r="BV521" s="233"/>
      <c r="BW521" s="233"/>
      <c r="BX521" s="233"/>
      <c r="BY521" s="233"/>
      <c r="BZ521" s="233"/>
      <c r="CA521" s="233"/>
    </row>
    <row r="522" spans="43:79" x14ac:dyDescent="0.25">
      <c r="AQ522" s="233"/>
      <c r="AR522" s="233"/>
      <c r="AS522" s="233"/>
      <c r="AT522" s="233"/>
      <c r="AU522" s="233"/>
      <c r="AV522" s="233"/>
      <c r="AW522" s="233"/>
      <c r="AX522" s="233"/>
      <c r="AY522" s="233"/>
      <c r="AZ522" s="233"/>
      <c r="BA522" s="233"/>
      <c r="BB522" s="233"/>
      <c r="BC522" s="233"/>
      <c r="BD522" s="233"/>
      <c r="BE522" s="233"/>
      <c r="BF522" s="233"/>
      <c r="BG522" s="233"/>
      <c r="BH522" s="233"/>
      <c r="BI522" s="233"/>
      <c r="BJ522" s="233"/>
      <c r="BK522" s="233"/>
      <c r="BL522" s="233"/>
      <c r="BM522" s="233"/>
      <c r="BN522" s="233"/>
      <c r="BO522" s="233"/>
      <c r="BP522" s="233"/>
      <c r="BQ522" s="233"/>
      <c r="BR522" s="233"/>
      <c r="BS522" s="233"/>
      <c r="BT522" s="233"/>
      <c r="BU522" s="233"/>
      <c r="BV522" s="233"/>
      <c r="BW522" s="233"/>
      <c r="BX522" s="233"/>
      <c r="BY522" s="233"/>
      <c r="BZ522" s="233"/>
      <c r="CA522" s="233"/>
    </row>
    <row r="523" spans="43:79" x14ac:dyDescent="0.25">
      <c r="AQ523" s="233"/>
      <c r="AR523" s="233"/>
      <c r="AS523" s="233"/>
      <c r="AT523" s="233"/>
      <c r="AU523" s="233"/>
      <c r="AV523" s="233"/>
      <c r="AW523" s="233"/>
      <c r="AX523" s="233"/>
      <c r="AY523" s="233"/>
      <c r="AZ523" s="233"/>
      <c r="BA523" s="233"/>
      <c r="BB523" s="233"/>
      <c r="BC523" s="233"/>
      <c r="BD523" s="233"/>
      <c r="BE523" s="233"/>
      <c r="BF523" s="233"/>
      <c r="BG523" s="233"/>
      <c r="BH523" s="233"/>
      <c r="BI523" s="233"/>
      <c r="BJ523" s="233"/>
      <c r="BK523" s="233"/>
      <c r="BL523" s="233"/>
      <c r="BM523" s="233"/>
      <c r="BN523" s="233"/>
      <c r="BO523" s="233"/>
      <c r="BP523" s="233"/>
      <c r="BQ523" s="233"/>
      <c r="BR523" s="233"/>
      <c r="BS523" s="233"/>
      <c r="BT523" s="233"/>
      <c r="BU523" s="233"/>
      <c r="BV523" s="233"/>
      <c r="BW523" s="233"/>
      <c r="BX523" s="233"/>
      <c r="BY523" s="233"/>
      <c r="BZ523" s="233"/>
      <c r="CA523" s="233"/>
    </row>
    <row r="524" spans="43:79" x14ac:dyDescent="0.25">
      <c r="AQ524" s="233"/>
      <c r="AR524" s="233"/>
      <c r="AS524" s="233"/>
      <c r="AT524" s="233"/>
      <c r="AU524" s="233"/>
      <c r="AV524" s="233"/>
      <c r="AW524" s="233"/>
      <c r="AX524" s="233"/>
      <c r="AY524" s="233"/>
      <c r="AZ524" s="233"/>
      <c r="BA524" s="233"/>
      <c r="BB524" s="233"/>
      <c r="BC524" s="233"/>
      <c r="BD524" s="233"/>
      <c r="BE524" s="233"/>
      <c r="BF524" s="233"/>
      <c r="BG524" s="233"/>
      <c r="BH524" s="233"/>
      <c r="BI524" s="233"/>
      <c r="BJ524" s="233"/>
      <c r="BK524" s="233"/>
      <c r="BL524" s="233"/>
      <c r="BM524" s="233"/>
      <c r="BN524" s="233"/>
      <c r="BO524" s="233"/>
      <c r="BP524" s="233"/>
      <c r="BQ524" s="233"/>
      <c r="BR524" s="233"/>
      <c r="BS524" s="233"/>
      <c r="BT524" s="233"/>
      <c r="BU524" s="233"/>
      <c r="BV524" s="233"/>
      <c r="BW524" s="233"/>
      <c r="BX524" s="233"/>
      <c r="BY524" s="233"/>
      <c r="BZ524" s="233"/>
      <c r="CA524" s="233"/>
    </row>
    <row r="525" spans="43:79" x14ac:dyDescent="0.25">
      <c r="AQ525" s="233"/>
      <c r="AR525" s="233"/>
      <c r="AS525" s="233"/>
      <c r="AT525" s="233"/>
      <c r="AU525" s="233"/>
      <c r="AV525" s="233"/>
      <c r="AW525" s="233"/>
      <c r="AX525" s="233"/>
      <c r="AY525" s="233"/>
      <c r="AZ525" s="233"/>
      <c r="BA525" s="233"/>
      <c r="BB525" s="233"/>
      <c r="BC525" s="233"/>
      <c r="BD525" s="233"/>
      <c r="BE525" s="233"/>
      <c r="BF525" s="233"/>
      <c r="BG525" s="233"/>
      <c r="BH525" s="233"/>
      <c r="BI525" s="233"/>
      <c r="BJ525" s="233"/>
      <c r="BK525" s="233"/>
      <c r="BL525" s="233"/>
      <c r="BM525" s="233"/>
      <c r="BN525" s="233"/>
      <c r="BO525" s="233"/>
      <c r="BP525" s="233"/>
      <c r="BQ525" s="233"/>
      <c r="BR525" s="233"/>
      <c r="BS525" s="233"/>
      <c r="BT525" s="233"/>
      <c r="BU525" s="233"/>
      <c r="BV525" s="233"/>
      <c r="BW525" s="233"/>
      <c r="BX525" s="233"/>
      <c r="BY525" s="233"/>
      <c r="BZ525" s="233"/>
      <c r="CA525" s="233"/>
    </row>
    <row r="526" spans="43:79" ht="15" customHeight="1" x14ac:dyDescent="0.25">
      <c r="AQ526" s="233"/>
      <c r="AR526" s="233"/>
      <c r="AS526" s="233"/>
      <c r="AT526" s="233"/>
      <c r="AU526" s="233"/>
      <c r="AV526" s="233"/>
      <c r="AW526" s="233"/>
      <c r="AX526" s="233"/>
      <c r="AY526" s="233"/>
      <c r="AZ526" s="233"/>
      <c r="BA526" s="233"/>
      <c r="BB526" s="233"/>
      <c r="BC526" s="233"/>
      <c r="BD526" s="233"/>
      <c r="BE526" s="233"/>
      <c r="BF526" s="233"/>
      <c r="BG526" s="233"/>
      <c r="BH526" s="233"/>
      <c r="BI526" s="233"/>
      <c r="BJ526" s="233"/>
      <c r="BK526" s="233"/>
      <c r="BL526" s="233"/>
      <c r="BM526" s="233"/>
      <c r="BN526" s="233"/>
      <c r="BO526" s="233"/>
      <c r="BP526" s="233"/>
      <c r="BQ526" s="233"/>
      <c r="BR526" s="233"/>
      <c r="BS526" s="233"/>
      <c r="BT526" s="233"/>
      <c r="BU526" s="233"/>
      <c r="BV526" s="233"/>
      <c r="BW526" s="233"/>
      <c r="BX526" s="233"/>
      <c r="BY526" s="233"/>
      <c r="BZ526" s="233"/>
      <c r="CA526" s="233"/>
    </row>
    <row r="527" spans="43:79" ht="15" customHeight="1" x14ac:dyDescent="0.25">
      <c r="AQ527" s="233"/>
      <c r="AR527" s="233"/>
      <c r="AS527" s="233"/>
      <c r="AT527" s="233"/>
      <c r="AU527" s="233"/>
      <c r="AV527" s="233"/>
      <c r="AW527" s="233"/>
      <c r="AX527" s="233"/>
      <c r="AY527" s="233"/>
      <c r="AZ527" s="233"/>
      <c r="BA527" s="233"/>
      <c r="BB527" s="233"/>
      <c r="BC527" s="233"/>
      <c r="BD527" s="233"/>
      <c r="BE527" s="233"/>
      <c r="BF527" s="233"/>
      <c r="BG527" s="233"/>
      <c r="BH527" s="233"/>
      <c r="BI527" s="233"/>
      <c r="BJ527" s="233"/>
      <c r="BK527" s="233"/>
      <c r="BL527" s="233"/>
      <c r="BM527" s="233"/>
      <c r="BN527" s="233"/>
      <c r="BO527" s="233"/>
      <c r="BP527" s="233"/>
      <c r="BQ527" s="233"/>
      <c r="BR527" s="233"/>
      <c r="BS527" s="233"/>
      <c r="BT527" s="233"/>
      <c r="BU527" s="233"/>
      <c r="BV527" s="233"/>
      <c r="BW527" s="233"/>
      <c r="BX527" s="233"/>
      <c r="BY527" s="233"/>
      <c r="BZ527" s="233"/>
      <c r="CA527" s="233"/>
    </row>
    <row r="528" spans="43:79" x14ac:dyDescent="0.25">
      <c r="AQ528" s="233"/>
      <c r="AR528" s="233"/>
      <c r="AS528" s="233"/>
      <c r="AT528" s="233"/>
      <c r="AU528" s="233"/>
      <c r="AV528" s="233"/>
      <c r="AW528" s="233"/>
      <c r="AX528" s="233"/>
      <c r="AY528" s="233"/>
      <c r="AZ528" s="233"/>
      <c r="BA528" s="233"/>
      <c r="BB528" s="233"/>
      <c r="BC528" s="233"/>
      <c r="BD528" s="233"/>
      <c r="BE528" s="233"/>
      <c r="BF528" s="233"/>
      <c r="BG528" s="233"/>
      <c r="BH528" s="233"/>
      <c r="BI528" s="233"/>
      <c r="BJ528" s="233"/>
      <c r="BK528" s="233"/>
      <c r="BL528" s="233"/>
      <c r="BM528" s="233"/>
      <c r="BN528" s="233"/>
      <c r="BO528" s="233"/>
      <c r="BP528" s="233"/>
      <c r="BQ528" s="233"/>
      <c r="BR528" s="233"/>
      <c r="BS528" s="233"/>
      <c r="BT528" s="233"/>
      <c r="BU528" s="233"/>
      <c r="BV528" s="233"/>
      <c r="BW528" s="233"/>
      <c r="BX528" s="233"/>
      <c r="BY528" s="233"/>
      <c r="BZ528" s="233"/>
      <c r="CA528" s="233"/>
    </row>
    <row r="529" spans="43:79" x14ac:dyDescent="0.25">
      <c r="AQ529" s="233"/>
      <c r="AR529" s="233"/>
      <c r="AS529" s="233"/>
      <c r="AT529" s="233"/>
      <c r="AU529" s="233"/>
      <c r="AV529" s="233"/>
      <c r="AW529" s="233"/>
      <c r="AX529" s="233"/>
      <c r="AY529" s="233"/>
      <c r="AZ529" s="233"/>
      <c r="BA529" s="233"/>
      <c r="BB529" s="233"/>
      <c r="BC529" s="233"/>
      <c r="BD529" s="233"/>
      <c r="BE529" s="233"/>
      <c r="BF529" s="233"/>
      <c r="BG529" s="233"/>
      <c r="BH529" s="233"/>
      <c r="BI529" s="233"/>
      <c r="BJ529" s="233"/>
      <c r="BK529" s="233"/>
      <c r="BL529" s="233"/>
      <c r="BM529" s="233"/>
      <c r="BN529" s="233"/>
      <c r="BO529" s="233"/>
      <c r="BP529" s="233"/>
      <c r="BQ529" s="233"/>
      <c r="BR529" s="233"/>
      <c r="BS529" s="233"/>
      <c r="BT529" s="233"/>
      <c r="BU529" s="233"/>
      <c r="BV529" s="233"/>
      <c r="BW529" s="233"/>
      <c r="BX529" s="233"/>
      <c r="BY529" s="233"/>
      <c r="BZ529" s="233"/>
      <c r="CA529" s="233"/>
    </row>
    <row r="530" spans="43:79" x14ac:dyDescent="0.25">
      <c r="AQ530" s="233"/>
      <c r="AR530" s="233"/>
      <c r="AS530" s="233"/>
      <c r="AT530" s="233"/>
      <c r="AU530" s="233"/>
      <c r="AV530" s="233"/>
      <c r="AW530" s="233"/>
      <c r="AX530" s="233"/>
      <c r="AY530" s="233"/>
      <c r="AZ530" s="233"/>
      <c r="BA530" s="233"/>
      <c r="BB530" s="233"/>
      <c r="BC530" s="233"/>
      <c r="BD530" s="233"/>
      <c r="BE530" s="233"/>
      <c r="BF530" s="233"/>
      <c r="BG530" s="233"/>
      <c r="BH530" s="233"/>
      <c r="BI530" s="233"/>
      <c r="BJ530" s="233"/>
      <c r="BK530" s="233"/>
      <c r="BL530" s="233"/>
      <c r="BM530" s="233"/>
      <c r="BN530" s="233"/>
      <c r="BO530" s="233"/>
      <c r="BP530" s="233"/>
      <c r="BQ530" s="233"/>
      <c r="BR530" s="233"/>
      <c r="BS530" s="233"/>
      <c r="BT530" s="233"/>
      <c r="BU530" s="233"/>
      <c r="BV530" s="233"/>
      <c r="BW530" s="233"/>
      <c r="BX530" s="233"/>
      <c r="BY530" s="233"/>
      <c r="BZ530" s="233"/>
      <c r="CA530" s="233"/>
    </row>
    <row r="531" spans="43:79" x14ac:dyDescent="0.25">
      <c r="AQ531" s="233"/>
      <c r="AR531" s="233"/>
      <c r="AS531" s="233"/>
      <c r="AT531" s="233"/>
      <c r="AU531" s="233"/>
      <c r="AV531" s="233"/>
      <c r="AW531" s="233"/>
      <c r="AX531" s="233"/>
      <c r="AY531" s="233"/>
      <c r="AZ531" s="233"/>
      <c r="BA531" s="233"/>
      <c r="BB531" s="233"/>
      <c r="BC531" s="233"/>
      <c r="BD531" s="233"/>
      <c r="BE531" s="233"/>
      <c r="BF531" s="233"/>
      <c r="BG531" s="233"/>
      <c r="BH531" s="233"/>
      <c r="BI531" s="233"/>
      <c r="BJ531" s="233"/>
      <c r="BK531" s="233"/>
      <c r="BL531" s="233"/>
      <c r="BM531" s="233"/>
      <c r="BN531" s="233"/>
      <c r="BO531" s="233"/>
      <c r="BP531" s="233"/>
      <c r="BQ531" s="233"/>
      <c r="BR531" s="233"/>
      <c r="BS531" s="233"/>
      <c r="BT531" s="233"/>
      <c r="BU531" s="233"/>
      <c r="BV531" s="233"/>
      <c r="BW531" s="233"/>
      <c r="BX531" s="233"/>
      <c r="BY531" s="233"/>
      <c r="BZ531" s="233"/>
      <c r="CA531" s="233"/>
    </row>
    <row r="532" spans="43:79" x14ac:dyDescent="0.25">
      <c r="AQ532" s="233"/>
      <c r="AR532" s="233"/>
      <c r="AS532" s="233"/>
      <c r="AT532" s="233"/>
      <c r="AU532" s="233"/>
      <c r="AV532" s="233"/>
      <c r="AW532" s="233"/>
      <c r="AX532" s="233"/>
      <c r="AY532" s="233"/>
      <c r="AZ532" s="233"/>
      <c r="BA532" s="233"/>
      <c r="BB532" s="233"/>
      <c r="BC532" s="233"/>
      <c r="BD532" s="233"/>
      <c r="BE532" s="233"/>
      <c r="BF532" s="233"/>
      <c r="BG532" s="233"/>
      <c r="BH532" s="233"/>
      <c r="BI532" s="233"/>
      <c r="BJ532" s="233"/>
      <c r="BK532" s="233"/>
      <c r="BL532" s="233"/>
      <c r="BM532" s="233"/>
      <c r="BN532" s="233"/>
      <c r="BO532" s="233"/>
      <c r="BP532" s="233"/>
      <c r="BQ532" s="233"/>
      <c r="BR532" s="233"/>
      <c r="BS532" s="233"/>
      <c r="BT532" s="233"/>
      <c r="BU532" s="233"/>
      <c r="BV532" s="233"/>
      <c r="BW532" s="233"/>
      <c r="BX532" s="233"/>
      <c r="BY532" s="233"/>
      <c r="BZ532" s="233"/>
      <c r="CA532" s="233"/>
    </row>
    <row r="533" spans="43:79" x14ac:dyDescent="0.25">
      <c r="AQ533" s="233"/>
      <c r="AR533" s="233"/>
      <c r="AS533" s="233"/>
      <c r="AT533" s="233"/>
      <c r="AU533" s="233"/>
      <c r="AV533" s="233"/>
      <c r="AW533" s="233"/>
      <c r="AX533" s="233"/>
      <c r="AY533" s="233"/>
      <c r="AZ533" s="233"/>
      <c r="BA533" s="233"/>
      <c r="BB533" s="233"/>
      <c r="BC533" s="233"/>
      <c r="BD533" s="233"/>
      <c r="BE533" s="233"/>
      <c r="BF533" s="233"/>
      <c r="BG533" s="233"/>
      <c r="BH533" s="233"/>
      <c r="BI533" s="233"/>
      <c r="BJ533" s="233"/>
      <c r="BK533" s="233"/>
      <c r="BL533" s="233"/>
      <c r="BM533" s="233"/>
      <c r="BN533" s="233"/>
      <c r="BO533" s="233"/>
      <c r="BP533" s="233"/>
      <c r="BQ533" s="233"/>
      <c r="BR533" s="233"/>
      <c r="BS533" s="233"/>
      <c r="BT533" s="233"/>
      <c r="BU533" s="233"/>
      <c r="BV533" s="233"/>
      <c r="BW533" s="233"/>
      <c r="BX533" s="233"/>
      <c r="BY533" s="233"/>
      <c r="BZ533" s="233"/>
      <c r="CA533" s="233"/>
    </row>
    <row r="534" spans="43:79" x14ac:dyDescent="0.25">
      <c r="AQ534" s="233"/>
      <c r="AR534" s="233"/>
      <c r="AS534" s="233"/>
      <c r="AT534" s="233"/>
      <c r="AU534" s="233"/>
      <c r="AV534" s="233"/>
      <c r="AW534" s="233"/>
      <c r="AX534" s="233"/>
      <c r="AY534" s="233"/>
      <c r="AZ534" s="233"/>
      <c r="BA534" s="233"/>
      <c r="BB534" s="233"/>
      <c r="BC534" s="233"/>
      <c r="BD534" s="233"/>
      <c r="BE534" s="233"/>
      <c r="BF534" s="233"/>
      <c r="BG534" s="233"/>
      <c r="BH534" s="233"/>
      <c r="BI534" s="233"/>
      <c r="BJ534" s="233"/>
      <c r="BK534" s="233"/>
      <c r="BL534" s="233"/>
      <c r="BM534" s="233"/>
      <c r="BN534" s="233"/>
      <c r="BO534" s="233"/>
      <c r="BP534" s="233"/>
      <c r="BQ534" s="233"/>
      <c r="BR534" s="233"/>
      <c r="BS534" s="233"/>
      <c r="BT534" s="233"/>
      <c r="BU534" s="233"/>
      <c r="BV534" s="233"/>
      <c r="BW534" s="233"/>
      <c r="BX534" s="233"/>
      <c r="BY534" s="233"/>
      <c r="BZ534" s="233"/>
      <c r="CA534" s="233"/>
    </row>
    <row r="535" spans="43:79" x14ac:dyDescent="0.25">
      <c r="AQ535" s="233"/>
      <c r="AR535" s="233"/>
      <c r="AS535" s="233"/>
      <c r="AT535" s="233"/>
      <c r="AU535" s="233"/>
      <c r="AV535" s="233"/>
      <c r="AW535" s="233"/>
      <c r="AX535" s="233"/>
      <c r="AY535" s="233"/>
      <c r="AZ535" s="233"/>
      <c r="BA535" s="233"/>
      <c r="BB535" s="233"/>
      <c r="BC535" s="233"/>
      <c r="BD535" s="233"/>
      <c r="BE535" s="233"/>
      <c r="BF535" s="233"/>
      <c r="BG535" s="233"/>
      <c r="BH535" s="233"/>
      <c r="BI535" s="233"/>
      <c r="BJ535" s="233"/>
      <c r="BK535" s="233"/>
      <c r="BL535" s="233"/>
      <c r="BM535" s="233"/>
      <c r="BN535" s="233"/>
      <c r="BO535" s="233"/>
      <c r="BP535" s="233"/>
      <c r="BQ535" s="233"/>
      <c r="BR535" s="233"/>
      <c r="BS535" s="233"/>
      <c r="BT535" s="233"/>
      <c r="BU535" s="233"/>
      <c r="BV535" s="233"/>
      <c r="BW535" s="233"/>
      <c r="BX535" s="233"/>
      <c r="BY535" s="233"/>
      <c r="BZ535" s="233"/>
      <c r="CA535" s="233"/>
    </row>
    <row r="536" spans="43:79" ht="15" customHeight="1" x14ac:dyDescent="0.25">
      <c r="AQ536" s="233"/>
      <c r="AR536" s="233"/>
      <c r="AS536" s="233"/>
      <c r="AT536" s="233"/>
      <c r="AU536" s="233"/>
      <c r="AV536" s="233"/>
      <c r="AW536" s="233"/>
      <c r="AX536" s="233"/>
      <c r="AY536" s="233"/>
      <c r="AZ536" s="233"/>
      <c r="BA536" s="233"/>
      <c r="BB536" s="233"/>
      <c r="BC536" s="233"/>
      <c r="BD536" s="233"/>
      <c r="BE536" s="233"/>
      <c r="BF536" s="233"/>
      <c r="BG536" s="233"/>
      <c r="BH536" s="233"/>
      <c r="BI536" s="233"/>
      <c r="BJ536" s="233"/>
      <c r="BK536" s="233"/>
      <c r="BL536" s="233"/>
      <c r="BM536" s="233"/>
      <c r="BN536" s="233"/>
      <c r="BO536" s="233"/>
      <c r="BP536" s="233"/>
      <c r="BQ536" s="233"/>
      <c r="BR536" s="233"/>
      <c r="BS536" s="233"/>
      <c r="BT536" s="233"/>
      <c r="BU536" s="233"/>
      <c r="BV536" s="233"/>
      <c r="BW536" s="233"/>
      <c r="BX536" s="233"/>
      <c r="BY536" s="233"/>
      <c r="BZ536" s="233"/>
      <c r="CA536" s="233"/>
    </row>
    <row r="537" spans="43:79" x14ac:dyDescent="0.25">
      <c r="AQ537" s="233"/>
      <c r="AR537" s="233"/>
      <c r="AS537" s="233"/>
      <c r="AT537" s="233"/>
      <c r="AU537" s="233"/>
      <c r="AV537" s="233"/>
      <c r="AW537" s="233"/>
      <c r="AX537" s="233"/>
      <c r="AY537" s="233"/>
      <c r="AZ537" s="233"/>
      <c r="BA537" s="233"/>
      <c r="BB537" s="233"/>
      <c r="BC537" s="233"/>
      <c r="BD537" s="233"/>
      <c r="BE537" s="233"/>
      <c r="BF537" s="233"/>
      <c r="BG537" s="233"/>
      <c r="BH537" s="233"/>
      <c r="BI537" s="233"/>
      <c r="BJ537" s="233"/>
      <c r="BK537" s="233"/>
      <c r="BL537" s="233"/>
      <c r="BM537" s="233"/>
      <c r="BN537" s="233"/>
      <c r="BO537" s="233"/>
      <c r="BP537" s="233"/>
      <c r="BQ537" s="233"/>
      <c r="BR537" s="233"/>
      <c r="BS537" s="233"/>
      <c r="BT537" s="233"/>
      <c r="BU537" s="233"/>
      <c r="BV537" s="233"/>
      <c r="BW537" s="233"/>
      <c r="BX537" s="233"/>
      <c r="BY537" s="233"/>
      <c r="BZ537" s="233"/>
      <c r="CA537" s="233"/>
    </row>
    <row r="538" spans="43:79" x14ac:dyDescent="0.25">
      <c r="AQ538" s="233"/>
      <c r="AR538" s="233"/>
      <c r="AS538" s="233"/>
      <c r="AT538" s="233"/>
      <c r="AU538" s="233"/>
      <c r="AV538" s="233"/>
      <c r="AW538" s="233"/>
      <c r="AX538" s="233"/>
      <c r="AY538" s="233"/>
      <c r="AZ538" s="233"/>
      <c r="BA538" s="233"/>
      <c r="BB538" s="233"/>
      <c r="BC538" s="233"/>
      <c r="BD538" s="233"/>
      <c r="BE538" s="233"/>
      <c r="BF538" s="233"/>
      <c r="BG538" s="233"/>
      <c r="BH538" s="233"/>
      <c r="BI538" s="233"/>
      <c r="BJ538" s="233"/>
      <c r="BK538" s="233"/>
      <c r="BL538" s="233"/>
      <c r="BM538" s="233"/>
      <c r="BN538" s="233"/>
      <c r="BO538" s="233"/>
      <c r="BP538" s="233"/>
      <c r="BQ538" s="233"/>
      <c r="BR538" s="233"/>
      <c r="BS538" s="233"/>
      <c r="BT538" s="233"/>
      <c r="BU538" s="233"/>
      <c r="BV538" s="233"/>
      <c r="BW538" s="233"/>
      <c r="BX538" s="233"/>
      <c r="BY538" s="233"/>
      <c r="BZ538" s="233"/>
      <c r="CA538" s="233"/>
    </row>
    <row r="539" spans="43:79" x14ac:dyDescent="0.25">
      <c r="AQ539" s="233"/>
      <c r="AR539" s="233"/>
      <c r="AS539" s="233"/>
      <c r="AT539" s="233"/>
      <c r="AU539" s="233"/>
      <c r="AV539" s="233"/>
      <c r="AW539" s="233"/>
      <c r="AX539" s="233"/>
      <c r="AY539" s="233"/>
      <c r="AZ539" s="233"/>
      <c r="BA539" s="233"/>
      <c r="BB539" s="233"/>
      <c r="BC539" s="233"/>
      <c r="BD539" s="233"/>
      <c r="BE539" s="233"/>
      <c r="BF539" s="233"/>
      <c r="BG539" s="233"/>
      <c r="BH539" s="233"/>
      <c r="BI539" s="233"/>
      <c r="BJ539" s="233"/>
      <c r="BK539" s="233"/>
      <c r="BL539" s="233"/>
      <c r="BM539" s="233"/>
      <c r="BN539" s="233"/>
      <c r="BO539" s="233"/>
      <c r="BP539" s="233"/>
      <c r="BQ539" s="233"/>
      <c r="BR539" s="233"/>
      <c r="BS539" s="233"/>
      <c r="BT539" s="233"/>
      <c r="BU539" s="233"/>
      <c r="BV539" s="233"/>
      <c r="BW539" s="233"/>
      <c r="BX539" s="233"/>
      <c r="BY539" s="233"/>
      <c r="BZ539" s="233"/>
      <c r="CA539" s="233"/>
    </row>
    <row r="540" spans="43:79" x14ac:dyDescent="0.25">
      <c r="AQ540" s="233"/>
      <c r="AR540" s="233"/>
      <c r="AS540" s="233"/>
      <c r="AT540" s="233"/>
      <c r="AU540" s="233"/>
      <c r="AV540" s="233"/>
      <c r="AW540" s="233"/>
      <c r="AX540" s="233"/>
      <c r="AY540" s="233"/>
      <c r="AZ540" s="233"/>
      <c r="BA540" s="233"/>
      <c r="BB540" s="233"/>
      <c r="BC540" s="233"/>
      <c r="BD540" s="233"/>
      <c r="BE540" s="233"/>
      <c r="BF540" s="233"/>
      <c r="BG540" s="233"/>
      <c r="BH540" s="233"/>
      <c r="BI540" s="233"/>
      <c r="BJ540" s="233"/>
      <c r="BK540" s="233"/>
      <c r="BL540" s="233"/>
      <c r="BM540" s="233"/>
      <c r="BN540" s="233"/>
      <c r="BO540" s="233"/>
      <c r="BP540" s="233"/>
      <c r="BQ540" s="233"/>
      <c r="BR540" s="233"/>
      <c r="BS540" s="233"/>
      <c r="BT540" s="233"/>
      <c r="BU540" s="233"/>
      <c r="BV540" s="233"/>
      <c r="BW540" s="233"/>
      <c r="BX540" s="233"/>
      <c r="BY540" s="233"/>
      <c r="BZ540" s="233"/>
      <c r="CA540" s="233"/>
    </row>
    <row r="541" spans="43:79" x14ac:dyDescent="0.25">
      <c r="AQ541" s="233"/>
      <c r="AR541" s="233"/>
      <c r="AS541" s="233"/>
      <c r="AT541" s="233"/>
      <c r="AU541" s="233"/>
      <c r="AV541" s="233"/>
      <c r="AW541" s="233"/>
      <c r="AX541" s="233"/>
      <c r="AY541" s="233"/>
      <c r="AZ541" s="233"/>
      <c r="BA541" s="233"/>
      <c r="BB541" s="233"/>
      <c r="BC541" s="233"/>
      <c r="BD541" s="233"/>
      <c r="BE541" s="233"/>
      <c r="BF541" s="233"/>
      <c r="BG541" s="233"/>
      <c r="BH541" s="233"/>
      <c r="BI541" s="233"/>
      <c r="BJ541" s="233"/>
      <c r="BK541" s="233"/>
      <c r="BL541" s="233"/>
      <c r="BM541" s="233"/>
      <c r="BN541" s="233"/>
      <c r="BO541" s="233"/>
      <c r="BP541" s="233"/>
      <c r="BQ541" s="233"/>
      <c r="BR541" s="233"/>
      <c r="BS541" s="233"/>
      <c r="BT541" s="233"/>
      <c r="BU541" s="233"/>
      <c r="BV541" s="233"/>
      <c r="BW541" s="233"/>
      <c r="BX541" s="233"/>
      <c r="BY541" s="233"/>
      <c r="BZ541" s="233"/>
      <c r="CA541" s="233"/>
    </row>
    <row r="542" spans="43:79" x14ac:dyDescent="0.25">
      <c r="AQ542" s="233"/>
      <c r="AR542" s="233"/>
      <c r="AS542" s="233"/>
      <c r="AT542" s="233"/>
      <c r="AU542" s="233"/>
      <c r="AV542" s="233"/>
      <c r="AW542" s="233"/>
      <c r="AX542" s="233"/>
      <c r="AY542" s="233"/>
      <c r="AZ542" s="233"/>
      <c r="BA542" s="233"/>
      <c r="BB542" s="233"/>
      <c r="BC542" s="233"/>
      <c r="BD542" s="233"/>
      <c r="BE542" s="233"/>
      <c r="BF542" s="233"/>
      <c r="BG542" s="233"/>
      <c r="BH542" s="233"/>
      <c r="BI542" s="233"/>
      <c r="BJ542" s="233"/>
      <c r="BK542" s="233"/>
      <c r="BL542" s="233"/>
      <c r="BM542" s="233"/>
      <c r="BN542" s="233"/>
      <c r="BO542" s="233"/>
      <c r="BP542" s="233"/>
      <c r="BQ542" s="233"/>
      <c r="BR542" s="233"/>
      <c r="BS542" s="233"/>
      <c r="BT542" s="233"/>
      <c r="BU542" s="233"/>
      <c r="BV542" s="233"/>
      <c r="BW542" s="233"/>
      <c r="BX542" s="233"/>
      <c r="BY542" s="233"/>
      <c r="BZ542" s="233"/>
      <c r="CA542" s="233"/>
    </row>
    <row r="543" spans="43:79" x14ac:dyDescent="0.25">
      <c r="AQ543" s="233"/>
      <c r="AR543" s="233"/>
      <c r="AS543" s="233"/>
      <c r="AT543" s="233"/>
      <c r="AU543" s="233"/>
      <c r="AV543" s="233"/>
      <c r="AW543" s="233"/>
      <c r="AX543" s="233"/>
      <c r="AY543" s="233"/>
      <c r="AZ543" s="233"/>
      <c r="BA543" s="233"/>
      <c r="BB543" s="233"/>
      <c r="BC543" s="233"/>
      <c r="BD543" s="233"/>
      <c r="BE543" s="233"/>
      <c r="BF543" s="233"/>
      <c r="BG543" s="233"/>
      <c r="BH543" s="233"/>
      <c r="BI543" s="233"/>
      <c r="BJ543" s="233"/>
      <c r="BK543" s="233"/>
      <c r="BL543" s="233"/>
      <c r="BM543" s="233"/>
      <c r="BN543" s="233"/>
      <c r="BO543" s="233"/>
      <c r="BP543" s="233"/>
      <c r="BQ543" s="233"/>
      <c r="BR543" s="233"/>
      <c r="BS543" s="233"/>
      <c r="BT543" s="233"/>
      <c r="BU543" s="233"/>
      <c r="BV543" s="233"/>
      <c r="BW543" s="233"/>
      <c r="BX543" s="233"/>
      <c r="BY543" s="233"/>
      <c r="BZ543" s="233"/>
      <c r="CA543" s="233"/>
    </row>
    <row r="544" spans="43:79" x14ac:dyDescent="0.25">
      <c r="AQ544" s="233"/>
      <c r="AR544" s="233"/>
      <c r="AS544" s="233"/>
      <c r="AT544" s="233"/>
      <c r="AU544" s="233"/>
      <c r="AV544" s="233"/>
      <c r="AW544" s="233"/>
      <c r="AX544" s="233"/>
      <c r="AY544" s="233"/>
      <c r="AZ544" s="233"/>
      <c r="BA544" s="233"/>
      <c r="BB544" s="233"/>
      <c r="BC544" s="233"/>
      <c r="BD544" s="233"/>
      <c r="BE544" s="233"/>
      <c r="BF544" s="233"/>
      <c r="BG544" s="233"/>
      <c r="BH544" s="233"/>
      <c r="BI544" s="233"/>
      <c r="BJ544" s="233"/>
      <c r="BK544" s="233"/>
      <c r="BL544" s="233"/>
      <c r="BM544" s="233"/>
      <c r="BN544" s="233"/>
      <c r="BO544" s="233"/>
      <c r="BP544" s="233"/>
      <c r="BQ544" s="233"/>
      <c r="BR544" s="233"/>
      <c r="BS544" s="233"/>
      <c r="BT544" s="233"/>
      <c r="BU544" s="233"/>
      <c r="BV544" s="233"/>
      <c r="BW544" s="233"/>
      <c r="BX544" s="233"/>
      <c r="BY544" s="233"/>
      <c r="BZ544" s="233"/>
      <c r="CA544" s="233"/>
    </row>
    <row r="545" spans="43:79" x14ac:dyDescent="0.25">
      <c r="AQ545" s="233"/>
      <c r="AR545" s="233"/>
      <c r="AS545" s="233"/>
      <c r="AT545" s="233"/>
      <c r="AU545" s="233"/>
      <c r="AV545" s="233"/>
      <c r="AW545" s="233"/>
      <c r="AX545" s="233"/>
      <c r="AY545" s="233"/>
      <c r="AZ545" s="233"/>
      <c r="BA545" s="233"/>
      <c r="BB545" s="233"/>
      <c r="BC545" s="233"/>
      <c r="BD545" s="233"/>
      <c r="BE545" s="233"/>
      <c r="BF545" s="233"/>
      <c r="BG545" s="233"/>
      <c r="BH545" s="233"/>
      <c r="BI545" s="233"/>
      <c r="BJ545" s="233"/>
      <c r="BK545" s="233"/>
      <c r="BL545" s="233"/>
      <c r="BM545" s="233"/>
      <c r="BN545" s="233"/>
      <c r="BO545" s="233"/>
      <c r="BP545" s="233"/>
      <c r="BQ545" s="233"/>
      <c r="BR545" s="233"/>
      <c r="BS545" s="233"/>
      <c r="BT545" s="233"/>
      <c r="BU545" s="233"/>
      <c r="BV545" s="233"/>
      <c r="BW545" s="233"/>
      <c r="BX545" s="233"/>
      <c r="BY545" s="233"/>
      <c r="BZ545" s="233"/>
      <c r="CA545" s="233"/>
    </row>
    <row r="546" spans="43:79" x14ac:dyDescent="0.25">
      <c r="AQ546" s="233"/>
      <c r="AR546" s="233"/>
      <c r="AS546" s="233"/>
      <c r="AT546" s="233"/>
      <c r="AU546" s="233"/>
      <c r="AV546" s="233"/>
      <c r="AW546" s="233"/>
      <c r="AX546" s="233"/>
      <c r="AY546" s="233"/>
      <c r="AZ546" s="233"/>
      <c r="BA546" s="233"/>
      <c r="BB546" s="233"/>
      <c r="BC546" s="233"/>
      <c r="BD546" s="233"/>
      <c r="BE546" s="233"/>
      <c r="BF546" s="233"/>
      <c r="BG546" s="233"/>
      <c r="BH546" s="233"/>
      <c r="BI546" s="233"/>
      <c r="BJ546" s="233"/>
      <c r="BK546" s="233"/>
      <c r="BL546" s="233"/>
      <c r="BM546" s="233"/>
      <c r="BN546" s="233"/>
      <c r="BO546" s="233"/>
      <c r="BP546" s="233"/>
      <c r="BQ546" s="233"/>
      <c r="BR546" s="233"/>
      <c r="BS546" s="233"/>
      <c r="BT546" s="233"/>
      <c r="BU546" s="233"/>
      <c r="BV546" s="233"/>
      <c r="BW546" s="233"/>
      <c r="BX546" s="233"/>
      <c r="BY546" s="233"/>
      <c r="BZ546" s="233"/>
      <c r="CA546" s="233"/>
    </row>
    <row r="547" spans="43:79" x14ac:dyDescent="0.25">
      <c r="AQ547" s="233"/>
      <c r="AR547" s="233"/>
      <c r="AS547" s="233"/>
      <c r="AT547" s="233"/>
      <c r="AU547" s="233"/>
      <c r="AV547" s="233"/>
      <c r="AW547" s="233"/>
      <c r="AX547" s="233"/>
      <c r="AY547" s="233"/>
      <c r="AZ547" s="233"/>
      <c r="BA547" s="233"/>
      <c r="BB547" s="233"/>
      <c r="BC547" s="233"/>
      <c r="BD547" s="233"/>
      <c r="BE547" s="233"/>
      <c r="BF547" s="233"/>
      <c r="BG547" s="233"/>
      <c r="BH547" s="233"/>
      <c r="BI547" s="233"/>
      <c r="BJ547" s="233"/>
      <c r="BK547" s="233"/>
      <c r="BL547" s="233"/>
      <c r="BM547" s="233"/>
      <c r="BN547" s="233"/>
      <c r="BO547" s="233"/>
      <c r="BP547" s="233"/>
      <c r="BQ547" s="233"/>
      <c r="BR547" s="233"/>
      <c r="BS547" s="233"/>
      <c r="BT547" s="233"/>
      <c r="BU547" s="233"/>
      <c r="BV547" s="233"/>
      <c r="BW547" s="233"/>
      <c r="BX547" s="233"/>
      <c r="BY547" s="233"/>
      <c r="BZ547" s="233"/>
      <c r="CA547" s="233"/>
    </row>
    <row r="548" spans="43:79" x14ac:dyDescent="0.25">
      <c r="AQ548" s="233"/>
      <c r="AR548" s="233"/>
      <c r="AS548" s="233"/>
      <c r="AT548" s="233"/>
      <c r="AU548" s="233"/>
      <c r="AV548" s="233"/>
      <c r="AW548" s="233"/>
      <c r="AX548" s="233"/>
      <c r="AY548" s="233"/>
      <c r="AZ548" s="233"/>
      <c r="BA548" s="233"/>
      <c r="BB548" s="233"/>
      <c r="BC548" s="233"/>
      <c r="BD548" s="233"/>
      <c r="BE548" s="233"/>
      <c r="BF548" s="233"/>
      <c r="BG548" s="233"/>
      <c r="BH548" s="233"/>
      <c r="BI548" s="233"/>
      <c r="BJ548" s="233"/>
      <c r="BK548" s="233"/>
      <c r="BL548" s="233"/>
      <c r="BM548" s="233"/>
      <c r="BN548" s="233"/>
      <c r="BO548" s="233"/>
      <c r="BP548" s="233"/>
      <c r="BQ548" s="233"/>
      <c r="BR548" s="233"/>
      <c r="BS548" s="233"/>
      <c r="BT548" s="233"/>
      <c r="BU548" s="233"/>
      <c r="BV548" s="233"/>
      <c r="BW548" s="233"/>
      <c r="BX548" s="233"/>
      <c r="BY548" s="233"/>
      <c r="BZ548" s="233"/>
      <c r="CA548" s="233"/>
    </row>
    <row r="549" spans="43:79" x14ac:dyDescent="0.25">
      <c r="AQ549" s="233"/>
      <c r="AR549" s="233"/>
      <c r="AS549" s="233"/>
      <c r="AT549" s="233"/>
      <c r="AU549" s="233"/>
      <c r="AV549" s="233"/>
      <c r="AW549" s="233"/>
      <c r="AX549" s="233"/>
      <c r="AY549" s="233"/>
      <c r="AZ549" s="233"/>
      <c r="BA549" s="233"/>
      <c r="BB549" s="233"/>
      <c r="BC549" s="233"/>
      <c r="BD549" s="233"/>
      <c r="BE549" s="233"/>
      <c r="BF549" s="233"/>
      <c r="BG549" s="233"/>
      <c r="BH549" s="233"/>
      <c r="BI549" s="233"/>
      <c r="BJ549" s="233"/>
      <c r="BK549" s="233"/>
      <c r="BL549" s="233"/>
      <c r="BM549" s="233"/>
      <c r="BN549" s="233"/>
      <c r="BO549" s="233"/>
      <c r="BP549" s="233"/>
      <c r="BQ549" s="233"/>
      <c r="BR549" s="233"/>
      <c r="BS549" s="233"/>
      <c r="BT549" s="233"/>
      <c r="BU549" s="233"/>
      <c r="BV549" s="233"/>
      <c r="BW549" s="233"/>
      <c r="BX549" s="233"/>
      <c r="BY549" s="233"/>
      <c r="BZ549" s="233"/>
      <c r="CA549" s="233"/>
    </row>
    <row r="550" spans="43:79" x14ac:dyDescent="0.25">
      <c r="AQ550" s="233"/>
      <c r="AR550" s="233"/>
      <c r="AS550" s="233"/>
      <c r="AT550" s="233"/>
      <c r="AU550" s="233"/>
      <c r="AV550" s="233"/>
      <c r="AW550" s="233"/>
      <c r="AX550" s="233"/>
      <c r="AY550" s="233"/>
      <c r="AZ550" s="233"/>
      <c r="BA550" s="233"/>
      <c r="BB550" s="233"/>
      <c r="BC550" s="233"/>
      <c r="BD550" s="233"/>
      <c r="BE550" s="233"/>
      <c r="BF550" s="233"/>
      <c r="BG550" s="233"/>
      <c r="BH550" s="233"/>
      <c r="BI550" s="233"/>
      <c r="BJ550" s="233"/>
      <c r="BK550" s="233"/>
      <c r="BL550" s="233"/>
      <c r="BM550" s="233"/>
      <c r="BN550" s="233"/>
      <c r="BO550" s="233"/>
      <c r="BP550" s="233"/>
      <c r="BQ550" s="233"/>
      <c r="BR550" s="233"/>
      <c r="BS550" s="233"/>
      <c r="BT550" s="233"/>
      <c r="BU550" s="233"/>
      <c r="BV550" s="233"/>
      <c r="BW550" s="233"/>
      <c r="BX550" s="233"/>
      <c r="BY550" s="233"/>
      <c r="BZ550" s="233"/>
      <c r="CA550" s="233"/>
    </row>
    <row r="551" spans="43:79" x14ac:dyDescent="0.25">
      <c r="AQ551" s="233"/>
      <c r="AR551" s="233"/>
      <c r="AS551" s="233"/>
      <c r="AT551" s="233"/>
      <c r="AU551" s="233"/>
      <c r="AV551" s="233"/>
      <c r="AW551" s="233"/>
      <c r="AX551" s="233"/>
      <c r="AY551" s="233"/>
      <c r="AZ551" s="233"/>
      <c r="BA551" s="233"/>
      <c r="BB551" s="233"/>
      <c r="BC551" s="233"/>
      <c r="BD551" s="233"/>
      <c r="BE551" s="233"/>
      <c r="BF551" s="233"/>
      <c r="BG551" s="233"/>
      <c r="BH551" s="233"/>
      <c r="BI551" s="233"/>
      <c r="BJ551" s="233"/>
      <c r="BK551" s="233"/>
      <c r="BL551" s="233"/>
      <c r="BM551" s="233"/>
      <c r="BN551" s="233"/>
      <c r="BO551" s="233"/>
      <c r="BP551" s="233"/>
      <c r="BQ551" s="233"/>
      <c r="BR551" s="233"/>
      <c r="BS551" s="233"/>
      <c r="BT551" s="233"/>
      <c r="BU551" s="233"/>
      <c r="BV551" s="233"/>
      <c r="BW551" s="233"/>
      <c r="BX551" s="233"/>
      <c r="BY551" s="233"/>
      <c r="BZ551" s="233"/>
      <c r="CA551" s="233"/>
    </row>
    <row r="552" spans="43:79" x14ac:dyDescent="0.25">
      <c r="AQ552" s="233"/>
      <c r="AR552" s="233"/>
      <c r="AS552" s="233"/>
      <c r="AT552" s="233"/>
      <c r="AU552" s="233"/>
      <c r="AV552" s="233"/>
      <c r="AW552" s="233"/>
      <c r="AX552" s="233"/>
      <c r="AY552" s="233"/>
      <c r="AZ552" s="233"/>
      <c r="BA552" s="233"/>
      <c r="BB552" s="233"/>
      <c r="BC552" s="233"/>
      <c r="BD552" s="233"/>
      <c r="BE552" s="233"/>
      <c r="BF552" s="233"/>
      <c r="BG552" s="233"/>
      <c r="BH552" s="233"/>
      <c r="BI552" s="233"/>
      <c r="BJ552" s="233"/>
      <c r="BK552" s="233"/>
      <c r="BL552" s="233"/>
      <c r="BM552" s="233"/>
      <c r="BN552" s="233"/>
      <c r="BO552" s="233"/>
      <c r="BP552" s="233"/>
      <c r="BQ552" s="233"/>
      <c r="BR552" s="233"/>
      <c r="BS552" s="233"/>
      <c r="BT552" s="233"/>
      <c r="BU552" s="233"/>
      <c r="BV552" s="233"/>
      <c r="BW552" s="233"/>
      <c r="BX552" s="233"/>
      <c r="BY552" s="233"/>
      <c r="BZ552" s="233"/>
      <c r="CA552" s="233"/>
    </row>
    <row r="553" spans="43:79" x14ac:dyDescent="0.25">
      <c r="AQ553" s="233"/>
      <c r="AR553" s="233"/>
      <c r="AS553" s="233"/>
      <c r="AT553" s="233"/>
      <c r="AU553" s="233"/>
      <c r="AV553" s="233"/>
      <c r="AW553" s="233"/>
      <c r="AX553" s="233"/>
      <c r="AY553" s="233"/>
      <c r="AZ553" s="233"/>
      <c r="BA553" s="233"/>
      <c r="BB553" s="233"/>
      <c r="BC553" s="233"/>
      <c r="BD553" s="233"/>
      <c r="BE553" s="233"/>
      <c r="BF553" s="233"/>
      <c r="BG553" s="233"/>
      <c r="BH553" s="233"/>
      <c r="BI553" s="233"/>
      <c r="BJ553" s="233"/>
      <c r="BK553" s="233"/>
      <c r="BL553" s="233"/>
      <c r="BM553" s="233"/>
      <c r="BN553" s="233"/>
      <c r="BO553" s="233"/>
      <c r="BP553" s="233"/>
      <c r="BQ553" s="233"/>
      <c r="BR553" s="233"/>
      <c r="BS553" s="233"/>
      <c r="BT553" s="233"/>
      <c r="BU553" s="233"/>
      <c r="BV553" s="233"/>
      <c r="BW553" s="233"/>
      <c r="BX553" s="233"/>
      <c r="BY553" s="233"/>
      <c r="BZ553" s="233"/>
      <c r="CA553" s="233"/>
    </row>
    <row r="554" spans="43:79" x14ac:dyDescent="0.25">
      <c r="AQ554" s="233"/>
      <c r="AR554" s="233"/>
      <c r="AS554" s="233"/>
      <c r="AT554" s="233"/>
      <c r="AU554" s="233"/>
      <c r="AV554" s="233"/>
      <c r="AW554" s="233"/>
      <c r="AX554" s="233"/>
      <c r="AY554" s="233"/>
      <c r="AZ554" s="233"/>
      <c r="BA554" s="233"/>
      <c r="BB554" s="233"/>
      <c r="BC554" s="233"/>
      <c r="BD554" s="233"/>
      <c r="BE554" s="233"/>
      <c r="BF554" s="233"/>
      <c r="BG554" s="233"/>
      <c r="BH554" s="233"/>
      <c r="BI554" s="233"/>
      <c r="BJ554" s="233"/>
      <c r="BK554" s="233"/>
      <c r="BL554" s="233"/>
      <c r="BM554" s="233"/>
      <c r="BN554" s="233"/>
      <c r="BO554" s="233"/>
      <c r="BP554" s="233"/>
      <c r="BQ554" s="233"/>
      <c r="BR554" s="233"/>
      <c r="BS554" s="233"/>
      <c r="BT554" s="233"/>
      <c r="BU554" s="233"/>
      <c r="BV554" s="233"/>
      <c r="BW554" s="233"/>
      <c r="BX554" s="233"/>
      <c r="BY554" s="233"/>
      <c r="BZ554" s="233"/>
      <c r="CA554" s="233"/>
    </row>
    <row r="555" spans="43:79" x14ac:dyDescent="0.25">
      <c r="AQ555" s="233"/>
      <c r="AR555" s="233"/>
      <c r="AS555" s="233"/>
      <c r="AT555" s="233"/>
      <c r="AU555" s="233"/>
      <c r="AV555" s="233"/>
      <c r="AW555" s="233"/>
      <c r="AX555" s="233"/>
      <c r="AY555" s="233"/>
      <c r="AZ555" s="233"/>
      <c r="BA555" s="233"/>
      <c r="BB555" s="233"/>
      <c r="BC555" s="233"/>
      <c r="BD555" s="233"/>
      <c r="BE555" s="233"/>
      <c r="BF555" s="233"/>
      <c r="BG555" s="233"/>
      <c r="BH555" s="233"/>
      <c r="BI555" s="233"/>
      <c r="BJ555" s="233"/>
      <c r="BK555" s="233"/>
      <c r="BL555" s="233"/>
      <c r="BM555" s="233"/>
      <c r="BN555" s="233"/>
      <c r="BO555" s="233"/>
      <c r="BP555" s="233"/>
      <c r="BQ555" s="233"/>
      <c r="BR555" s="233"/>
      <c r="BS555" s="233"/>
      <c r="BT555" s="233"/>
      <c r="BU555" s="233"/>
      <c r="BV555" s="233"/>
      <c r="BW555" s="233"/>
      <c r="BX555" s="233"/>
      <c r="BY555" s="233"/>
      <c r="BZ555" s="233"/>
      <c r="CA555" s="233"/>
    </row>
    <row r="556" spans="43:79" x14ac:dyDescent="0.25">
      <c r="AQ556" s="233"/>
      <c r="AR556" s="233"/>
      <c r="AS556" s="233"/>
      <c r="AT556" s="233"/>
      <c r="AU556" s="233"/>
      <c r="AV556" s="233"/>
      <c r="AW556" s="233"/>
      <c r="AX556" s="233"/>
      <c r="AY556" s="233"/>
      <c r="AZ556" s="233"/>
      <c r="BA556" s="233"/>
      <c r="BB556" s="233"/>
      <c r="BC556" s="233"/>
      <c r="BD556" s="233"/>
      <c r="BE556" s="233"/>
      <c r="BF556" s="233"/>
      <c r="BG556" s="233"/>
      <c r="BH556" s="233"/>
      <c r="BI556" s="233"/>
      <c r="BJ556" s="233"/>
      <c r="BK556" s="233"/>
      <c r="BL556" s="233"/>
      <c r="BM556" s="233"/>
      <c r="BN556" s="233"/>
      <c r="BO556" s="233"/>
      <c r="BP556" s="233"/>
      <c r="BQ556" s="233"/>
      <c r="BR556" s="233"/>
      <c r="BS556" s="233"/>
      <c r="BT556" s="233"/>
      <c r="BU556" s="233"/>
      <c r="BV556" s="233"/>
      <c r="BW556" s="233"/>
      <c r="BX556" s="233"/>
      <c r="BY556" s="233"/>
      <c r="BZ556" s="233"/>
      <c r="CA556" s="233"/>
    </row>
    <row r="557" spans="43:79" x14ac:dyDescent="0.25">
      <c r="AQ557" s="233"/>
      <c r="AR557" s="233"/>
      <c r="AS557" s="233"/>
      <c r="AT557" s="233"/>
      <c r="AU557" s="233"/>
      <c r="AV557" s="233"/>
      <c r="AW557" s="233"/>
      <c r="AX557" s="233"/>
      <c r="AY557" s="233"/>
      <c r="AZ557" s="233"/>
      <c r="BA557" s="233"/>
      <c r="BB557" s="233"/>
      <c r="BC557" s="233"/>
      <c r="BD557" s="233"/>
      <c r="BE557" s="233"/>
      <c r="BF557" s="233"/>
      <c r="BG557" s="233"/>
      <c r="BH557" s="233"/>
      <c r="BI557" s="233"/>
      <c r="BJ557" s="233"/>
      <c r="BK557" s="233"/>
      <c r="BL557" s="233"/>
      <c r="BM557" s="233"/>
      <c r="BN557" s="233"/>
      <c r="BO557" s="233"/>
      <c r="BP557" s="233"/>
      <c r="BQ557" s="233"/>
      <c r="BR557" s="233"/>
      <c r="BS557" s="233"/>
      <c r="BT557" s="233"/>
      <c r="BU557" s="233"/>
      <c r="BV557" s="233"/>
      <c r="BW557" s="233"/>
      <c r="BX557" s="233"/>
      <c r="BY557" s="233"/>
      <c r="BZ557" s="233"/>
      <c r="CA557" s="233"/>
    </row>
    <row r="558" spans="43:79" x14ac:dyDescent="0.25">
      <c r="AQ558" s="233"/>
      <c r="AR558" s="233"/>
      <c r="AS558" s="233"/>
      <c r="AT558" s="233"/>
      <c r="AU558" s="233"/>
      <c r="AV558" s="233"/>
      <c r="AW558" s="233"/>
      <c r="AX558" s="233"/>
      <c r="AY558" s="233"/>
      <c r="AZ558" s="233"/>
      <c r="BA558" s="233"/>
      <c r="BB558" s="233"/>
      <c r="BC558" s="233"/>
      <c r="BD558" s="233"/>
      <c r="BE558" s="233"/>
      <c r="BF558" s="233"/>
      <c r="BG558" s="233"/>
      <c r="BH558" s="233"/>
      <c r="BI558" s="233"/>
      <c r="BJ558" s="233"/>
      <c r="BK558" s="233"/>
      <c r="BL558" s="233"/>
      <c r="BM558" s="233"/>
      <c r="BN558" s="233"/>
      <c r="BO558" s="233"/>
      <c r="BP558" s="233"/>
      <c r="BQ558" s="233"/>
      <c r="BR558" s="233"/>
      <c r="BS558" s="233"/>
      <c r="BT558" s="233"/>
      <c r="BU558" s="233"/>
      <c r="BV558" s="233"/>
      <c r="BW558" s="233"/>
      <c r="BX558" s="233"/>
      <c r="BY558" s="233"/>
      <c r="BZ558" s="233"/>
      <c r="CA558" s="233"/>
    </row>
    <row r="559" spans="43:79" x14ac:dyDescent="0.25">
      <c r="AQ559" s="233"/>
      <c r="AR559" s="233"/>
      <c r="AS559" s="233"/>
      <c r="AT559" s="233"/>
      <c r="AU559" s="233"/>
      <c r="AV559" s="233"/>
      <c r="AW559" s="233"/>
      <c r="AX559" s="233"/>
      <c r="AY559" s="233"/>
      <c r="AZ559" s="233"/>
      <c r="BA559" s="233"/>
      <c r="BB559" s="233"/>
      <c r="BC559" s="233"/>
      <c r="BD559" s="233"/>
      <c r="BE559" s="233"/>
      <c r="BF559" s="233"/>
      <c r="BG559" s="233"/>
      <c r="BH559" s="233"/>
      <c r="BI559" s="233"/>
      <c r="BJ559" s="233"/>
      <c r="BK559" s="233"/>
      <c r="BL559" s="233"/>
      <c r="BM559" s="233"/>
      <c r="BN559" s="233"/>
      <c r="BO559" s="233"/>
      <c r="BP559" s="233"/>
      <c r="BQ559" s="233"/>
      <c r="BR559" s="233"/>
      <c r="BS559" s="233"/>
      <c r="BT559" s="233"/>
      <c r="BU559" s="233"/>
      <c r="BV559" s="233"/>
      <c r="BW559" s="233"/>
      <c r="BX559" s="233"/>
      <c r="BY559" s="233"/>
      <c r="BZ559" s="233"/>
      <c r="CA559" s="233"/>
    </row>
    <row r="560" spans="43:79" x14ac:dyDescent="0.25">
      <c r="AQ560" s="233"/>
      <c r="AR560" s="233"/>
      <c r="AS560" s="233"/>
      <c r="AT560" s="233"/>
      <c r="AU560" s="233"/>
      <c r="AV560" s="233"/>
      <c r="AW560" s="233"/>
      <c r="AX560" s="233"/>
      <c r="AY560" s="233"/>
      <c r="AZ560" s="233"/>
      <c r="BA560" s="233"/>
      <c r="BB560" s="233"/>
      <c r="BC560" s="233"/>
      <c r="BD560" s="233"/>
      <c r="BE560" s="233"/>
      <c r="BF560" s="233"/>
      <c r="BG560" s="233"/>
      <c r="BH560" s="233"/>
      <c r="BI560" s="233"/>
      <c r="BJ560" s="233"/>
      <c r="BK560" s="233"/>
      <c r="BL560" s="233"/>
      <c r="BM560" s="233"/>
      <c r="BN560" s="233"/>
      <c r="BO560" s="233"/>
      <c r="BP560" s="233"/>
      <c r="BQ560" s="233"/>
      <c r="BR560" s="233"/>
      <c r="BS560" s="233"/>
      <c r="BT560" s="233"/>
      <c r="BU560" s="233"/>
      <c r="BV560" s="233"/>
      <c r="BW560" s="233"/>
      <c r="BX560" s="233"/>
      <c r="BY560" s="233"/>
      <c r="BZ560" s="233"/>
      <c r="CA560" s="233"/>
    </row>
    <row r="561" spans="43:79" x14ac:dyDescent="0.25">
      <c r="AQ561" s="233"/>
      <c r="AR561" s="233"/>
      <c r="AS561" s="233"/>
      <c r="AT561" s="233"/>
      <c r="AU561" s="233"/>
      <c r="AV561" s="233"/>
      <c r="AW561" s="233"/>
      <c r="AX561" s="233"/>
      <c r="AY561" s="233"/>
      <c r="AZ561" s="233"/>
      <c r="BA561" s="233"/>
      <c r="BB561" s="233"/>
      <c r="BC561" s="233"/>
      <c r="BD561" s="233"/>
      <c r="BE561" s="233"/>
      <c r="BF561" s="233"/>
      <c r="BG561" s="233"/>
      <c r="BH561" s="233"/>
      <c r="BI561" s="233"/>
      <c r="BJ561" s="233"/>
      <c r="BK561" s="233"/>
      <c r="BL561" s="233"/>
      <c r="BM561" s="233"/>
      <c r="BN561" s="233"/>
      <c r="BO561" s="233"/>
      <c r="BP561" s="233"/>
      <c r="BQ561" s="233"/>
      <c r="BR561" s="233"/>
      <c r="BS561" s="233"/>
      <c r="BT561" s="233"/>
      <c r="BU561" s="233"/>
      <c r="BV561" s="233"/>
      <c r="BW561" s="233"/>
      <c r="BX561" s="233"/>
      <c r="BY561" s="233"/>
      <c r="BZ561" s="233"/>
      <c r="CA561" s="233"/>
    </row>
    <row r="562" spans="43:79" x14ac:dyDescent="0.25">
      <c r="AQ562" s="233"/>
      <c r="AR562" s="233"/>
      <c r="AS562" s="233"/>
      <c r="AT562" s="233"/>
      <c r="AU562" s="233"/>
      <c r="AV562" s="233"/>
      <c r="AW562" s="233"/>
      <c r="AX562" s="233"/>
      <c r="AY562" s="233"/>
      <c r="AZ562" s="233"/>
      <c r="BA562" s="233"/>
      <c r="BB562" s="233"/>
      <c r="BC562" s="233"/>
      <c r="BD562" s="233"/>
      <c r="BE562" s="233"/>
      <c r="BF562" s="233"/>
      <c r="BG562" s="233"/>
      <c r="BH562" s="233"/>
      <c r="BI562" s="233"/>
      <c r="BJ562" s="233"/>
      <c r="BK562" s="233"/>
      <c r="BL562" s="233"/>
      <c r="BM562" s="233"/>
      <c r="BN562" s="233"/>
      <c r="BO562" s="233"/>
      <c r="BP562" s="233"/>
      <c r="BQ562" s="233"/>
      <c r="BR562" s="233"/>
      <c r="BS562" s="233"/>
      <c r="BT562" s="233"/>
      <c r="BU562" s="233"/>
      <c r="BV562" s="233"/>
      <c r="BW562" s="233"/>
      <c r="BX562" s="233"/>
      <c r="BY562" s="233"/>
      <c r="BZ562" s="233"/>
      <c r="CA562" s="233"/>
    </row>
    <row r="563" spans="43:79" x14ac:dyDescent="0.25">
      <c r="AQ563" s="233"/>
      <c r="AR563" s="233"/>
      <c r="AS563" s="233"/>
      <c r="AT563" s="233"/>
      <c r="AU563" s="233"/>
      <c r="AV563" s="233"/>
      <c r="AW563" s="233"/>
      <c r="AX563" s="233"/>
      <c r="AY563" s="233"/>
      <c r="AZ563" s="233"/>
      <c r="BA563" s="233"/>
      <c r="BB563" s="233"/>
      <c r="BC563" s="233"/>
      <c r="BD563" s="233"/>
      <c r="BE563" s="233"/>
      <c r="BF563" s="233"/>
      <c r="BG563" s="233"/>
      <c r="BH563" s="233"/>
      <c r="BI563" s="233"/>
      <c r="BJ563" s="233"/>
      <c r="BK563" s="233"/>
      <c r="BL563" s="233"/>
      <c r="BM563" s="233"/>
      <c r="BN563" s="233"/>
      <c r="BO563" s="233"/>
      <c r="BP563" s="233"/>
      <c r="BQ563" s="233"/>
      <c r="BR563" s="233"/>
      <c r="BS563" s="233"/>
      <c r="BT563" s="233"/>
      <c r="BU563" s="233"/>
      <c r="BV563" s="233"/>
      <c r="BW563" s="233"/>
      <c r="BX563" s="233"/>
      <c r="BY563" s="233"/>
      <c r="BZ563" s="233"/>
      <c r="CA563" s="233"/>
    </row>
    <row r="564" spans="43:79" x14ac:dyDescent="0.25">
      <c r="AQ564" s="233"/>
      <c r="AR564" s="233"/>
      <c r="AS564" s="233"/>
      <c r="AT564" s="233"/>
      <c r="AU564" s="233"/>
      <c r="AV564" s="233"/>
      <c r="AW564" s="233"/>
      <c r="AX564" s="233"/>
      <c r="AY564" s="233"/>
      <c r="AZ564" s="233"/>
      <c r="BA564" s="233"/>
      <c r="BB564" s="233"/>
      <c r="BC564" s="233"/>
      <c r="BD564" s="233"/>
      <c r="BE564" s="233"/>
      <c r="BF564" s="233"/>
      <c r="BG564" s="233"/>
      <c r="BH564" s="233"/>
      <c r="BI564" s="233"/>
      <c r="BJ564" s="233"/>
      <c r="BK564" s="233"/>
      <c r="BL564" s="233"/>
      <c r="BM564" s="233"/>
      <c r="BN564" s="233"/>
      <c r="BO564" s="233"/>
      <c r="BP564" s="233"/>
      <c r="BQ564" s="233"/>
      <c r="BR564" s="233"/>
      <c r="BS564" s="233"/>
      <c r="BT564" s="233"/>
      <c r="BU564" s="233"/>
      <c r="BV564" s="233"/>
      <c r="BW564" s="233"/>
      <c r="BX564" s="233"/>
      <c r="BY564" s="233"/>
      <c r="BZ564" s="233"/>
      <c r="CA564" s="233"/>
    </row>
    <row r="565" spans="43:79" x14ac:dyDescent="0.25">
      <c r="AQ565" s="233"/>
      <c r="AR565" s="233"/>
      <c r="AS565" s="233"/>
      <c r="AT565" s="233"/>
      <c r="AU565" s="233"/>
      <c r="AV565" s="233"/>
      <c r="AW565" s="233"/>
      <c r="AX565" s="233"/>
      <c r="AY565" s="233"/>
      <c r="AZ565" s="233"/>
      <c r="BA565" s="233"/>
      <c r="BB565" s="233"/>
      <c r="BC565" s="233"/>
      <c r="BD565" s="233"/>
      <c r="BE565" s="233"/>
      <c r="BF565" s="233"/>
      <c r="BG565" s="233"/>
      <c r="BH565" s="233"/>
      <c r="BI565" s="233"/>
      <c r="BJ565" s="233"/>
      <c r="BK565" s="233"/>
      <c r="BL565" s="233"/>
      <c r="BM565" s="233"/>
      <c r="BN565" s="233"/>
      <c r="BO565" s="233"/>
      <c r="BP565" s="233"/>
      <c r="BQ565" s="233"/>
      <c r="BR565" s="233"/>
      <c r="BS565" s="233"/>
      <c r="BT565" s="233"/>
      <c r="BU565" s="233"/>
      <c r="BV565" s="233"/>
      <c r="BW565" s="233"/>
      <c r="BX565" s="233"/>
      <c r="BY565" s="233"/>
      <c r="BZ565" s="233"/>
      <c r="CA565" s="233"/>
    </row>
    <row r="566" spans="43:79" x14ac:dyDescent="0.25">
      <c r="AQ566" s="233"/>
      <c r="AR566" s="233"/>
      <c r="AS566" s="233"/>
      <c r="AT566" s="233"/>
      <c r="AU566" s="233"/>
      <c r="AV566" s="233"/>
      <c r="AW566" s="233"/>
      <c r="AX566" s="233"/>
      <c r="AY566" s="233"/>
      <c r="AZ566" s="233"/>
      <c r="BA566" s="233"/>
      <c r="BB566" s="233"/>
      <c r="BC566" s="233"/>
      <c r="BD566" s="233"/>
      <c r="BE566" s="233"/>
      <c r="BF566" s="233"/>
      <c r="BG566" s="233"/>
      <c r="BH566" s="233"/>
      <c r="BI566" s="233"/>
      <c r="BJ566" s="233"/>
      <c r="BK566" s="233"/>
      <c r="BL566" s="233"/>
      <c r="BM566" s="233"/>
      <c r="BN566" s="233"/>
      <c r="BO566" s="233"/>
      <c r="BP566" s="233"/>
      <c r="BQ566" s="233"/>
      <c r="BR566" s="233"/>
      <c r="BS566" s="233"/>
      <c r="BT566" s="233"/>
      <c r="BU566" s="233"/>
      <c r="BV566" s="233"/>
      <c r="BW566" s="233"/>
      <c r="BX566" s="233"/>
      <c r="BY566" s="233"/>
      <c r="BZ566" s="233"/>
      <c r="CA566" s="233"/>
    </row>
    <row r="567" spans="43:79" x14ac:dyDescent="0.25">
      <c r="AQ567" s="233"/>
      <c r="AR567" s="233"/>
      <c r="AS567" s="233"/>
      <c r="AT567" s="233"/>
      <c r="AU567" s="233"/>
      <c r="AV567" s="233"/>
      <c r="AW567" s="233"/>
      <c r="AX567" s="233"/>
      <c r="AY567" s="233"/>
      <c r="AZ567" s="233"/>
      <c r="BA567" s="233"/>
      <c r="BB567" s="233"/>
      <c r="BC567" s="233"/>
      <c r="BD567" s="233"/>
      <c r="BE567" s="233"/>
      <c r="BF567" s="233"/>
      <c r="BG567" s="233"/>
      <c r="BH567" s="233"/>
      <c r="BI567" s="233"/>
      <c r="BJ567" s="233"/>
      <c r="BK567" s="233"/>
      <c r="BL567" s="233"/>
      <c r="BM567" s="233"/>
      <c r="BN567" s="233"/>
      <c r="BO567" s="233"/>
      <c r="BP567" s="233"/>
      <c r="BQ567" s="233"/>
      <c r="BR567" s="233"/>
      <c r="BS567" s="233"/>
      <c r="BT567" s="233"/>
      <c r="BU567" s="233"/>
      <c r="BV567" s="233"/>
      <c r="BW567" s="233"/>
      <c r="BX567" s="233"/>
      <c r="BY567" s="233"/>
      <c r="BZ567" s="233"/>
      <c r="CA567" s="233"/>
    </row>
    <row r="568" spans="43:79" x14ac:dyDescent="0.25">
      <c r="AQ568" s="233"/>
      <c r="AR568" s="233"/>
      <c r="AS568" s="233"/>
      <c r="AT568" s="233"/>
      <c r="AU568" s="233"/>
      <c r="AV568" s="233"/>
      <c r="AW568" s="233"/>
      <c r="AX568" s="233"/>
      <c r="AY568" s="233"/>
      <c r="AZ568" s="233"/>
      <c r="BA568" s="233"/>
      <c r="BB568" s="233"/>
      <c r="BC568" s="233"/>
      <c r="BD568" s="233"/>
      <c r="BE568" s="233"/>
      <c r="BF568" s="233"/>
      <c r="BG568" s="233"/>
      <c r="BH568" s="233"/>
      <c r="BI568" s="233"/>
      <c r="BJ568" s="233"/>
      <c r="BK568" s="233"/>
      <c r="BL568" s="233"/>
      <c r="BM568" s="233"/>
      <c r="BN568" s="233"/>
      <c r="BO568" s="233"/>
      <c r="BP568" s="233"/>
      <c r="BQ568" s="233"/>
      <c r="BR568" s="233"/>
      <c r="BS568" s="233"/>
      <c r="BT568" s="233"/>
      <c r="BU568" s="233"/>
      <c r="BV568" s="233"/>
      <c r="BW568" s="233"/>
      <c r="BX568" s="233"/>
      <c r="BY568" s="233"/>
      <c r="BZ568" s="233"/>
      <c r="CA568" s="233"/>
    </row>
    <row r="569" spans="43:79" x14ac:dyDescent="0.25">
      <c r="AQ569" s="233"/>
      <c r="AR569" s="233"/>
      <c r="AS569" s="233"/>
      <c r="AT569" s="233"/>
      <c r="AU569" s="233"/>
      <c r="AV569" s="233"/>
      <c r="AW569" s="233"/>
      <c r="AX569" s="233"/>
      <c r="AY569" s="233"/>
      <c r="AZ569" s="233"/>
      <c r="BA569" s="233"/>
      <c r="BB569" s="233"/>
      <c r="BC569" s="233"/>
      <c r="BD569" s="233"/>
      <c r="BE569" s="233"/>
      <c r="BF569" s="233"/>
      <c r="BG569" s="233"/>
      <c r="BH569" s="233"/>
      <c r="BI569" s="233"/>
      <c r="BJ569" s="233"/>
      <c r="BK569" s="233"/>
      <c r="BL569" s="233"/>
      <c r="BM569" s="233"/>
      <c r="BN569" s="233"/>
      <c r="BO569" s="233"/>
      <c r="BP569" s="233"/>
      <c r="BQ569" s="233"/>
      <c r="BR569" s="233"/>
      <c r="BS569" s="233"/>
      <c r="BT569" s="233"/>
      <c r="BU569" s="233"/>
      <c r="BV569" s="233"/>
      <c r="BW569" s="233"/>
      <c r="BX569" s="233"/>
      <c r="BY569" s="233"/>
      <c r="BZ569" s="233"/>
      <c r="CA569" s="233"/>
    </row>
    <row r="570" spans="43:79" x14ac:dyDescent="0.25">
      <c r="AQ570" s="233"/>
      <c r="AR570" s="233"/>
      <c r="AS570" s="233"/>
      <c r="AT570" s="233"/>
      <c r="AU570" s="233"/>
      <c r="AV570" s="233"/>
      <c r="AW570" s="233"/>
      <c r="AX570" s="233"/>
      <c r="AY570" s="233"/>
      <c r="AZ570" s="233"/>
      <c r="BA570" s="233"/>
      <c r="BB570" s="233"/>
      <c r="BC570" s="233"/>
      <c r="BD570" s="233"/>
      <c r="BE570" s="233"/>
      <c r="BF570" s="233"/>
      <c r="BG570" s="233"/>
      <c r="BH570" s="233"/>
      <c r="BI570" s="233"/>
      <c r="BJ570" s="233"/>
      <c r="BK570" s="233"/>
      <c r="BL570" s="233"/>
      <c r="BM570" s="233"/>
      <c r="BN570" s="233"/>
      <c r="BO570" s="233"/>
      <c r="BP570" s="233"/>
      <c r="BQ570" s="233"/>
      <c r="BR570" s="233"/>
      <c r="BS570" s="233"/>
      <c r="BT570" s="233"/>
      <c r="BU570" s="233"/>
      <c r="BV570" s="233"/>
      <c r="BW570" s="233"/>
      <c r="BX570" s="233"/>
      <c r="BY570" s="233"/>
      <c r="BZ570" s="233"/>
      <c r="CA570" s="233"/>
    </row>
    <row r="571" spans="43:79" x14ac:dyDescent="0.25">
      <c r="AQ571" s="233"/>
      <c r="AR571" s="233"/>
      <c r="AS571" s="233"/>
      <c r="AT571" s="233"/>
      <c r="AU571" s="233"/>
      <c r="AV571" s="233"/>
      <c r="AW571" s="233"/>
      <c r="AX571" s="233"/>
      <c r="AY571" s="233"/>
      <c r="AZ571" s="233"/>
      <c r="BA571" s="233"/>
      <c r="BB571" s="233"/>
      <c r="BC571" s="233"/>
      <c r="BD571" s="233"/>
      <c r="BE571" s="233"/>
      <c r="BF571" s="233"/>
      <c r="BG571" s="233"/>
      <c r="BH571" s="233"/>
      <c r="BI571" s="233"/>
      <c r="BJ571" s="233"/>
      <c r="BK571" s="233"/>
      <c r="BL571" s="233"/>
      <c r="BM571" s="233"/>
      <c r="BN571" s="233"/>
      <c r="BO571" s="233"/>
      <c r="BP571" s="233"/>
      <c r="BQ571" s="233"/>
      <c r="BR571" s="233"/>
      <c r="BS571" s="233"/>
      <c r="BT571" s="233"/>
      <c r="BU571" s="233"/>
      <c r="BV571" s="233"/>
      <c r="BW571" s="233"/>
      <c r="BX571" s="233"/>
      <c r="BY571" s="233"/>
      <c r="BZ571" s="233"/>
      <c r="CA571" s="233"/>
    </row>
    <row r="572" spans="43:79" x14ac:dyDescent="0.25">
      <c r="AQ572" s="233"/>
      <c r="AR572" s="233"/>
      <c r="AS572" s="233"/>
      <c r="AT572" s="233"/>
      <c r="AU572" s="233"/>
      <c r="AV572" s="233"/>
      <c r="AW572" s="233"/>
      <c r="AX572" s="233"/>
      <c r="AY572" s="233"/>
      <c r="AZ572" s="233"/>
      <c r="BA572" s="233"/>
      <c r="BB572" s="233"/>
      <c r="BC572" s="233"/>
      <c r="BD572" s="233"/>
      <c r="BE572" s="233"/>
      <c r="BF572" s="233"/>
      <c r="BG572" s="233"/>
      <c r="BH572" s="233"/>
      <c r="BI572" s="233"/>
      <c r="BJ572" s="233"/>
      <c r="BK572" s="233"/>
      <c r="BL572" s="233"/>
      <c r="BM572" s="233"/>
      <c r="BN572" s="233"/>
      <c r="BO572" s="233"/>
      <c r="BP572" s="233"/>
      <c r="BQ572" s="233"/>
      <c r="BR572" s="233"/>
      <c r="BS572" s="233"/>
      <c r="BT572" s="233"/>
      <c r="BU572" s="233"/>
      <c r="BV572" s="233"/>
      <c r="BW572" s="233"/>
      <c r="BX572" s="233"/>
      <c r="BY572" s="233"/>
      <c r="BZ572" s="233"/>
      <c r="CA572" s="233"/>
    </row>
    <row r="573" spans="43:79" x14ac:dyDescent="0.25">
      <c r="AQ573" s="233"/>
      <c r="AR573" s="233"/>
      <c r="AS573" s="233"/>
      <c r="AT573" s="233"/>
      <c r="AU573" s="233"/>
      <c r="AV573" s="233"/>
      <c r="AW573" s="233"/>
      <c r="AX573" s="233"/>
      <c r="AY573" s="233"/>
      <c r="AZ573" s="233"/>
      <c r="BA573" s="233"/>
      <c r="BB573" s="233"/>
      <c r="BC573" s="233"/>
      <c r="BD573" s="233"/>
      <c r="BE573" s="233"/>
      <c r="BF573" s="233"/>
      <c r="BG573" s="233"/>
      <c r="BH573" s="233"/>
      <c r="BI573" s="233"/>
      <c r="BJ573" s="233"/>
      <c r="BK573" s="233"/>
      <c r="BL573" s="233"/>
      <c r="BM573" s="233"/>
      <c r="BN573" s="233"/>
      <c r="BO573" s="233"/>
      <c r="BP573" s="233"/>
      <c r="BQ573" s="233"/>
      <c r="BR573" s="233"/>
      <c r="BS573" s="233"/>
      <c r="BT573" s="233"/>
      <c r="BU573" s="233"/>
      <c r="BV573" s="233"/>
      <c r="BW573" s="233"/>
      <c r="BX573" s="233"/>
      <c r="BY573" s="233"/>
      <c r="BZ573" s="233"/>
      <c r="CA573" s="233"/>
    </row>
    <row r="574" spans="43:79" x14ac:dyDescent="0.25">
      <c r="AQ574" s="233"/>
      <c r="AR574" s="233"/>
      <c r="AS574" s="233"/>
      <c r="AT574" s="233"/>
      <c r="AU574" s="233"/>
      <c r="AV574" s="233"/>
      <c r="AW574" s="233"/>
      <c r="AX574" s="233"/>
      <c r="AY574" s="233"/>
      <c r="AZ574" s="233"/>
      <c r="BA574" s="233"/>
      <c r="BB574" s="233"/>
      <c r="BC574" s="233"/>
      <c r="BD574" s="233"/>
      <c r="BE574" s="233"/>
      <c r="BF574" s="233"/>
      <c r="BG574" s="233"/>
      <c r="BH574" s="233"/>
      <c r="BI574" s="233"/>
      <c r="BJ574" s="233"/>
      <c r="BK574" s="233"/>
      <c r="BL574" s="233"/>
      <c r="BM574" s="233"/>
      <c r="BN574" s="233"/>
      <c r="BO574" s="233"/>
      <c r="BP574" s="233"/>
      <c r="BQ574" s="233"/>
      <c r="BR574" s="233"/>
      <c r="BS574" s="233"/>
      <c r="BT574" s="233"/>
      <c r="BU574" s="233"/>
      <c r="BV574" s="233"/>
      <c r="BW574" s="233"/>
      <c r="BX574" s="233"/>
      <c r="BY574" s="233"/>
      <c r="BZ574" s="233"/>
      <c r="CA574" s="233"/>
    </row>
    <row r="575" spans="43:79" x14ac:dyDescent="0.25">
      <c r="AQ575" s="233"/>
      <c r="AR575" s="233"/>
      <c r="AS575" s="233"/>
      <c r="AT575" s="233"/>
      <c r="AU575" s="233"/>
      <c r="AV575" s="233"/>
      <c r="AW575" s="233"/>
      <c r="AX575" s="233"/>
      <c r="AY575" s="233"/>
      <c r="AZ575" s="233"/>
      <c r="BA575" s="233"/>
      <c r="BB575" s="233"/>
      <c r="BC575" s="233"/>
      <c r="BD575" s="233"/>
      <c r="BE575" s="233"/>
      <c r="BF575" s="233"/>
      <c r="BG575" s="233"/>
      <c r="BH575" s="233"/>
      <c r="BI575" s="233"/>
      <c r="BJ575" s="233"/>
      <c r="BK575" s="233"/>
      <c r="BL575" s="233"/>
      <c r="BM575" s="233"/>
      <c r="BN575" s="233"/>
      <c r="BO575" s="233"/>
      <c r="BP575" s="233"/>
      <c r="BQ575" s="233"/>
      <c r="BR575" s="233"/>
      <c r="BS575" s="233"/>
      <c r="BT575" s="233"/>
      <c r="BU575" s="233"/>
      <c r="BV575" s="233"/>
      <c r="BW575" s="233"/>
      <c r="BX575" s="233"/>
      <c r="BY575" s="233"/>
      <c r="BZ575" s="233"/>
      <c r="CA575" s="233"/>
    </row>
    <row r="576" spans="43:79" x14ac:dyDescent="0.25">
      <c r="AQ576" s="233"/>
      <c r="AR576" s="233"/>
      <c r="AS576" s="233"/>
      <c r="AT576" s="233"/>
      <c r="AU576" s="233"/>
      <c r="AV576" s="233"/>
      <c r="AW576" s="233"/>
      <c r="AX576" s="233"/>
      <c r="AY576" s="233"/>
      <c r="AZ576" s="233"/>
      <c r="BA576" s="233"/>
      <c r="BB576" s="233"/>
      <c r="BC576" s="233"/>
      <c r="BD576" s="233"/>
      <c r="BE576" s="233"/>
      <c r="BF576" s="233"/>
      <c r="BG576" s="233"/>
      <c r="BH576" s="233"/>
      <c r="BI576" s="233"/>
      <c r="BJ576" s="233"/>
      <c r="BK576" s="233"/>
      <c r="BL576" s="233"/>
      <c r="BM576" s="233"/>
      <c r="BN576" s="233"/>
      <c r="BO576" s="233"/>
      <c r="BP576" s="233"/>
      <c r="BQ576" s="233"/>
      <c r="BR576" s="233"/>
      <c r="BS576" s="233"/>
      <c r="BT576" s="233"/>
      <c r="BU576" s="233"/>
      <c r="BV576" s="233"/>
      <c r="BW576" s="233"/>
      <c r="BX576" s="233"/>
      <c r="BY576" s="233"/>
      <c r="BZ576" s="233"/>
      <c r="CA576" s="233"/>
    </row>
    <row r="577" spans="43:79" x14ac:dyDescent="0.25">
      <c r="AQ577" s="233"/>
      <c r="AR577" s="233"/>
      <c r="AS577" s="233"/>
      <c r="AT577" s="233"/>
      <c r="AU577" s="233"/>
      <c r="AV577" s="233"/>
      <c r="AW577" s="233"/>
      <c r="AX577" s="233"/>
      <c r="AY577" s="233"/>
      <c r="AZ577" s="233"/>
      <c r="BA577" s="233"/>
      <c r="BB577" s="233"/>
      <c r="BC577" s="233"/>
      <c r="BD577" s="233"/>
      <c r="BE577" s="233"/>
      <c r="BF577" s="233"/>
      <c r="BG577" s="233"/>
      <c r="BH577" s="233"/>
      <c r="BI577" s="233"/>
      <c r="BJ577" s="233"/>
      <c r="BK577" s="233"/>
      <c r="BL577" s="233"/>
      <c r="BM577" s="233"/>
      <c r="BN577" s="233"/>
      <c r="BO577" s="233"/>
      <c r="BP577" s="233"/>
      <c r="BQ577" s="233"/>
      <c r="BR577" s="233"/>
      <c r="BS577" s="233"/>
      <c r="BT577" s="233"/>
      <c r="BU577" s="233"/>
      <c r="BV577" s="233"/>
      <c r="BW577" s="233"/>
      <c r="BX577" s="233"/>
      <c r="BY577" s="233"/>
      <c r="BZ577" s="233"/>
      <c r="CA577" s="233"/>
    </row>
    <row r="578" spans="43:79" x14ac:dyDescent="0.25">
      <c r="AQ578" s="233"/>
      <c r="AR578" s="233"/>
      <c r="AS578" s="233"/>
      <c r="AT578" s="233"/>
      <c r="AU578" s="233"/>
      <c r="AV578" s="233"/>
      <c r="AW578" s="233"/>
      <c r="AX578" s="233"/>
      <c r="AY578" s="233"/>
      <c r="AZ578" s="233"/>
      <c r="BA578" s="233"/>
      <c r="BB578" s="233"/>
      <c r="BC578" s="233"/>
      <c r="BD578" s="233"/>
      <c r="BE578" s="233"/>
      <c r="BF578" s="233"/>
      <c r="BG578" s="233"/>
      <c r="BH578" s="233"/>
      <c r="BI578" s="233"/>
      <c r="BJ578" s="233"/>
      <c r="BK578" s="233"/>
      <c r="BL578" s="233"/>
      <c r="BM578" s="233"/>
      <c r="BN578" s="233"/>
      <c r="BO578" s="233"/>
      <c r="BP578" s="233"/>
      <c r="BQ578" s="233"/>
      <c r="BR578" s="233"/>
      <c r="BS578" s="233"/>
      <c r="BT578" s="233"/>
      <c r="BU578" s="233"/>
      <c r="BV578" s="233"/>
      <c r="BW578" s="233"/>
      <c r="BX578" s="233"/>
      <c r="BY578" s="233"/>
      <c r="BZ578" s="233"/>
      <c r="CA578" s="233"/>
    </row>
    <row r="579" spans="43:79" x14ac:dyDescent="0.25">
      <c r="AQ579" s="233"/>
      <c r="AR579" s="233"/>
      <c r="AS579" s="233"/>
      <c r="AT579" s="233"/>
      <c r="AU579" s="233"/>
      <c r="AV579" s="233"/>
      <c r="AW579" s="233"/>
      <c r="AX579" s="233"/>
      <c r="AY579" s="233"/>
      <c r="AZ579" s="233"/>
      <c r="BA579" s="233"/>
      <c r="BB579" s="233"/>
      <c r="BC579" s="233"/>
      <c r="BD579" s="233"/>
      <c r="BE579" s="233"/>
      <c r="BF579" s="233"/>
      <c r="BG579" s="233"/>
      <c r="BH579" s="233"/>
      <c r="BI579" s="233"/>
      <c r="BJ579" s="233"/>
      <c r="BK579" s="233"/>
      <c r="BL579" s="233"/>
      <c r="BM579" s="233"/>
      <c r="BN579" s="233"/>
      <c r="BO579" s="233"/>
      <c r="BP579" s="233"/>
      <c r="BQ579" s="233"/>
      <c r="BR579" s="233"/>
      <c r="BS579" s="233"/>
      <c r="BT579" s="233"/>
      <c r="BU579" s="233"/>
      <c r="BV579" s="233"/>
      <c r="BW579" s="233"/>
      <c r="BX579" s="233"/>
      <c r="BY579" s="233"/>
      <c r="BZ579" s="233"/>
      <c r="CA579" s="233"/>
    </row>
    <row r="580" spans="43:79" x14ac:dyDescent="0.25">
      <c r="AQ580" s="233"/>
      <c r="AR580" s="233"/>
      <c r="AS580" s="233"/>
      <c r="AT580" s="233"/>
      <c r="AU580" s="233"/>
      <c r="AV580" s="233"/>
      <c r="AW580" s="233"/>
      <c r="AX580" s="233"/>
      <c r="AY580" s="233"/>
      <c r="AZ580" s="233"/>
      <c r="BA580" s="233"/>
      <c r="BB580" s="233"/>
      <c r="BC580" s="233"/>
      <c r="BD580" s="233"/>
      <c r="BE580" s="233"/>
      <c r="BF580" s="233"/>
      <c r="BG580" s="233"/>
      <c r="BH580" s="233"/>
      <c r="BI580" s="233"/>
      <c r="BJ580" s="233"/>
      <c r="BK580" s="233"/>
      <c r="BL580" s="233"/>
      <c r="BM580" s="233"/>
      <c r="BN580" s="233"/>
      <c r="BO580" s="233"/>
      <c r="BP580" s="233"/>
      <c r="BQ580" s="233"/>
      <c r="BR580" s="233"/>
      <c r="BS580" s="233"/>
      <c r="BT580" s="233"/>
      <c r="BU580" s="233"/>
      <c r="BV580" s="233"/>
      <c r="BW580" s="233"/>
      <c r="BX580" s="233"/>
      <c r="BY580" s="233"/>
      <c r="BZ580" s="233"/>
      <c r="CA580" s="233"/>
    </row>
    <row r="581" spans="43:79" x14ac:dyDescent="0.25">
      <c r="AQ581" s="233"/>
      <c r="AR581" s="233"/>
      <c r="AS581" s="233"/>
      <c r="AT581" s="233"/>
      <c r="AU581" s="233"/>
      <c r="AV581" s="233"/>
      <c r="AW581" s="233"/>
      <c r="AX581" s="233"/>
      <c r="AY581" s="233"/>
      <c r="AZ581" s="233"/>
      <c r="BA581" s="233"/>
      <c r="BB581" s="233"/>
      <c r="BC581" s="233"/>
      <c r="BD581" s="233"/>
      <c r="BE581" s="233"/>
      <c r="BF581" s="233"/>
      <c r="BG581" s="233"/>
      <c r="BH581" s="233"/>
      <c r="BI581" s="233"/>
      <c r="BJ581" s="233"/>
      <c r="BK581" s="233"/>
      <c r="BL581" s="233"/>
      <c r="BM581" s="233"/>
      <c r="BN581" s="233"/>
      <c r="BO581" s="233"/>
      <c r="BP581" s="233"/>
      <c r="BQ581" s="233"/>
      <c r="BR581" s="233"/>
      <c r="BS581" s="233"/>
      <c r="BT581" s="233"/>
      <c r="BU581" s="233"/>
      <c r="BV581" s="233"/>
      <c r="BW581" s="233"/>
      <c r="BX581" s="233"/>
      <c r="BY581" s="233"/>
      <c r="BZ581" s="233"/>
      <c r="CA581" s="233"/>
    </row>
    <row r="582" spans="43:79" x14ac:dyDescent="0.25">
      <c r="AQ582" s="233"/>
      <c r="AR582" s="233"/>
      <c r="AS582" s="233"/>
      <c r="AT582" s="233"/>
      <c r="AU582" s="233"/>
      <c r="AV582" s="233"/>
      <c r="AW582" s="233"/>
      <c r="AX582" s="233"/>
      <c r="AY582" s="233"/>
      <c r="AZ582" s="233"/>
      <c r="BA582" s="233"/>
      <c r="BB582" s="233"/>
      <c r="BC582" s="233"/>
      <c r="BD582" s="233"/>
      <c r="BE582" s="233"/>
      <c r="BF582" s="233"/>
      <c r="BG582" s="233"/>
      <c r="BH582" s="233"/>
      <c r="BI582" s="233"/>
      <c r="BJ582" s="233"/>
      <c r="BK582" s="233"/>
      <c r="BL582" s="233"/>
      <c r="BM582" s="233"/>
      <c r="BN582" s="233"/>
      <c r="BO582" s="233"/>
      <c r="BP582" s="233"/>
      <c r="BQ582" s="233"/>
      <c r="BR582" s="233"/>
      <c r="BS582" s="233"/>
      <c r="BT582" s="233"/>
      <c r="BU582" s="233"/>
      <c r="BV582" s="233"/>
      <c r="BW582" s="233"/>
      <c r="BX582" s="233"/>
      <c r="BY582" s="233"/>
      <c r="BZ582" s="233"/>
      <c r="CA582" s="233"/>
    </row>
    <row r="583" spans="43:79" x14ac:dyDescent="0.25">
      <c r="AQ583" s="233"/>
      <c r="AR583" s="233"/>
      <c r="AS583" s="233"/>
      <c r="AT583" s="233"/>
      <c r="AU583" s="233"/>
      <c r="AV583" s="233"/>
      <c r="AW583" s="233"/>
      <c r="AX583" s="233"/>
      <c r="AY583" s="233"/>
      <c r="AZ583" s="233"/>
      <c r="BA583" s="233"/>
      <c r="BB583" s="233"/>
      <c r="BC583" s="233"/>
      <c r="BD583" s="233"/>
      <c r="BE583" s="233"/>
      <c r="BF583" s="233"/>
      <c r="BG583" s="233"/>
      <c r="BH583" s="233"/>
      <c r="BI583" s="233"/>
      <c r="BJ583" s="233"/>
      <c r="BK583" s="233"/>
      <c r="BL583" s="233"/>
      <c r="BM583" s="233"/>
      <c r="BN583" s="233"/>
      <c r="BO583" s="233"/>
      <c r="BP583" s="233"/>
      <c r="BQ583" s="233"/>
      <c r="BR583" s="233"/>
      <c r="BS583" s="233"/>
      <c r="BT583" s="233"/>
      <c r="BU583" s="233"/>
      <c r="BV583" s="233"/>
      <c r="BW583" s="233"/>
      <c r="BX583" s="233"/>
      <c r="BY583" s="233"/>
      <c r="BZ583" s="233"/>
      <c r="CA583" s="233"/>
    </row>
    <row r="584" spans="43:79" x14ac:dyDescent="0.25">
      <c r="AQ584" s="233"/>
      <c r="AR584" s="233"/>
      <c r="AS584" s="233"/>
      <c r="AT584" s="233"/>
      <c r="AU584" s="233"/>
      <c r="AV584" s="233"/>
      <c r="AW584" s="233"/>
      <c r="AX584" s="233"/>
      <c r="AY584" s="233"/>
      <c r="AZ584" s="233"/>
      <c r="BA584" s="233"/>
      <c r="BB584" s="233"/>
      <c r="BC584" s="233"/>
      <c r="BD584" s="233"/>
      <c r="BE584" s="233"/>
      <c r="BF584" s="233"/>
      <c r="BG584" s="233"/>
      <c r="BH584" s="233"/>
      <c r="BI584" s="233"/>
      <c r="BJ584" s="233"/>
      <c r="BK584" s="233"/>
      <c r="BL584" s="233"/>
      <c r="BM584" s="233"/>
      <c r="BN584" s="233"/>
      <c r="BO584" s="233"/>
      <c r="BP584" s="233"/>
      <c r="BQ584" s="233"/>
      <c r="BR584" s="233"/>
      <c r="BS584" s="233"/>
      <c r="BT584" s="233"/>
      <c r="BU584" s="233"/>
      <c r="BV584" s="233"/>
      <c r="BW584" s="233"/>
      <c r="BX584" s="233"/>
      <c r="BY584" s="233"/>
      <c r="BZ584" s="233"/>
      <c r="CA584" s="233"/>
    </row>
    <row r="585" spans="43:79" x14ac:dyDescent="0.25">
      <c r="AQ585" s="233"/>
      <c r="AR585" s="233"/>
      <c r="AS585" s="233"/>
      <c r="AT585" s="233"/>
      <c r="AU585" s="233"/>
      <c r="AV585" s="233"/>
      <c r="AW585" s="233"/>
      <c r="AX585" s="233"/>
      <c r="AY585" s="233"/>
      <c r="AZ585" s="233"/>
      <c r="BA585" s="233"/>
      <c r="BB585" s="233"/>
      <c r="BC585" s="233"/>
      <c r="BD585" s="233"/>
      <c r="BE585" s="233"/>
      <c r="BF585" s="233"/>
      <c r="BG585" s="233"/>
      <c r="BH585" s="233"/>
      <c r="BI585" s="233"/>
      <c r="BJ585" s="233"/>
      <c r="BK585" s="233"/>
      <c r="BL585" s="233"/>
      <c r="BM585" s="233"/>
      <c r="BN585" s="233"/>
      <c r="BO585" s="233"/>
      <c r="BP585" s="233"/>
      <c r="BQ585" s="233"/>
      <c r="BR585" s="233"/>
      <c r="BS585" s="233"/>
      <c r="BT585" s="233"/>
      <c r="BU585" s="233"/>
      <c r="BV585" s="233"/>
      <c r="BW585" s="233"/>
      <c r="BX585" s="233"/>
      <c r="BY585" s="233"/>
      <c r="BZ585" s="233"/>
      <c r="CA585" s="233"/>
    </row>
    <row r="586" spans="43:79" x14ac:dyDescent="0.25">
      <c r="AQ586" s="233"/>
      <c r="AR586" s="233"/>
      <c r="AS586" s="233"/>
      <c r="AT586" s="233"/>
      <c r="AU586" s="233"/>
      <c r="AV586" s="233"/>
      <c r="AW586" s="233"/>
      <c r="AX586" s="233"/>
      <c r="AY586" s="233"/>
      <c r="AZ586" s="233"/>
      <c r="BA586" s="233"/>
      <c r="BB586" s="233"/>
      <c r="BC586" s="233"/>
      <c r="BD586" s="233"/>
      <c r="BE586" s="233"/>
      <c r="BF586" s="233"/>
      <c r="BG586" s="233"/>
      <c r="BH586" s="233"/>
      <c r="BI586" s="233"/>
      <c r="BJ586" s="233"/>
      <c r="BK586" s="233"/>
      <c r="BL586" s="233"/>
      <c r="BM586" s="233"/>
      <c r="BN586" s="233"/>
      <c r="BO586" s="233"/>
      <c r="BP586" s="233"/>
      <c r="BQ586" s="233"/>
      <c r="BR586" s="233"/>
      <c r="BS586" s="233"/>
      <c r="BT586" s="233"/>
      <c r="BU586" s="233"/>
      <c r="BV586" s="233"/>
      <c r="BW586" s="233"/>
      <c r="BX586" s="233"/>
      <c r="BY586" s="233"/>
      <c r="BZ586" s="233"/>
      <c r="CA586" s="233"/>
    </row>
    <row r="587" spans="43:79" x14ac:dyDescent="0.25">
      <c r="AQ587" s="233"/>
      <c r="AR587" s="233"/>
      <c r="AS587" s="233"/>
      <c r="AT587" s="233"/>
      <c r="AU587" s="233"/>
      <c r="AV587" s="233"/>
      <c r="AW587" s="233"/>
      <c r="AX587" s="233"/>
      <c r="AY587" s="233"/>
      <c r="AZ587" s="233"/>
      <c r="BA587" s="233"/>
      <c r="BB587" s="233"/>
      <c r="BC587" s="233"/>
      <c r="BD587" s="233"/>
      <c r="BE587" s="233"/>
      <c r="BF587" s="233"/>
      <c r="BG587" s="233"/>
      <c r="BH587" s="233"/>
      <c r="BI587" s="233"/>
      <c r="BJ587" s="233"/>
      <c r="BK587" s="233"/>
      <c r="BL587" s="233"/>
      <c r="BM587" s="233"/>
      <c r="BN587" s="233"/>
      <c r="BO587" s="233"/>
      <c r="BP587" s="233"/>
      <c r="BQ587" s="233"/>
      <c r="BR587" s="233"/>
      <c r="BS587" s="233"/>
      <c r="BT587" s="233"/>
      <c r="BU587" s="233"/>
      <c r="BV587" s="233"/>
      <c r="BW587" s="233"/>
      <c r="BX587" s="233"/>
      <c r="BY587" s="233"/>
      <c r="BZ587" s="233"/>
      <c r="CA587" s="233"/>
    </row>
    <row r="588" spans="43:79" x14ac:dyDescent="0.25">
      <c r="AQ588" s="233"/>
      <c r="AR588" s="233"/>
      <c r="AS588" s="233"/>
      <c r="AT588" s="233"/>
      <c r="AU588" s="233"/>
      <c r="AV588" s="233"/>
      <c r="AW588" s="233"/>
      <c r="AX588" s="233"/>
      <c r="AY588" s="233"/>
      <c r="AZ588" s="233"/>
      <c r="BA588" s="233"/>
      <c r="BB588" s="233"/>
      <c r="BC588" s="233"/>
      <c r="BD588" s="233"/>
      <c r="BE588" s="233"/>
      <c r="BF588" s="233"/>
      <c r="BG588" s="233"/>
      <c r="BH588" s="233"/>
      <c r="BI588" s="233"/>
      <c r="BJ588" s="233"/>
      <c r="BK588" s="233"/>
      <c r="BL588" s="233"/>
      <c r="BM588" s="233"/>
      <c r="BN588" s="233"/>
      <c r="BO588" s="233"/>
      <c r="BP588" s="233"/>
      <c r="BQ588" s="233"/>
      <c r="BR588" s="233"/>
      <c r="BS588" s="233"/>
      <c r="BT588" s="233"/>
      <c r="BU588" s="233"/>
      <c r="BV588" s="233"/>
      <c r="BW588" s="233"/>
      <c r="BX588" s="233"/>
      <c r="BY588" s="233"/>
      <c r="BZ588" s="233"/>
      <c r="CA588" s="233"/>
    </row>
    <row r="589" spans="43:79" x14ac:dyDescent="0.25">
      <c r="AQ589" s="233"/>
      <c r="AR589" s="233"/>
      <c r="AS589" s="233"/>
      <c r="AT589" s="233"/>
      <c r="AU589" s="233"/>
      <c r="AV589" s="233"/>
      <c r="AW589" s="233"/>
      <c r="AX589" s="233"/>
      <c r="AY589" s="233"/>
      <c r="AZ589" s="233"/>
      <c r="BA589" s="233"/>
      <c r="BB589" s="233"/>
      <c r="BC589" s="233"/>
      <c r="BD589" s="233"/>
      <c r="BE589" s="233"/>
      <c r="BF589" s="233"/>
      <c r="BG589" s="233"/>
      <c r="BH589" s="233"/>
      <c r="BI589" s="233"/>
      <c r="BJ589" s="233"/>
      <c r="BK589" s="233"/>
      <c r="BL589" s="233"/>
      <c r="BM589" s="233"/>
      <c r="BN589" s="233"/>
      <c r="BO589" s="233"/>
      <c r="BP589" s="233"/>
      <c r="BQ589" s="233"/>
      <c r="BR589" s="233"/>
      <c r="BS589" s="233"/>
      <c r="BT589" s="233"/>
      <c r="BU589" s="233"/>
      <c r="BV589" s="233"/>
      <c r="BW589" s="233"/>
      <c r="BX589" s="233"/>
      <c r="BY589" s="233"/>
      <c r="BZ589" s="233"/>
      <c r="CA589" s="233"/>
    </row>
    <row r="590" spans="43:79" x14ac:dyDescent="0.25">
      <c r="AQ590" s="233"/>
      <c r="AR590" s="233"/>
      <c r="AS590" s="233"/>
      <c r="AT590" s="233"/>
      <c r="AU590" s="233"/>
      <c r="AV590" s="233"/>
      <c r="AW590" s="233"/>
      <c r="AX590" s="233"/>
      <c r="AY590" s="233"/>
      <c r="AZ590" s="233"/>
      <c r="BA590" s="233"/>
      <c r="BB590" s="233"/>
      <c r="BC590" s="233"/>
      <c r="BD590" s="233"/>
      <c r="BE590" s="233"/>
      <c r="BF590" s="233"/>
      <c r="BG590" s="233"/>
      <c r="BH590" s="233"/>
      <c r="BI590" s="233"/>
      <c r="BJ590" s="233"/>
      <c r="BK590" s="233"/>
      <c r="BL590" s="233"/>
      <c r="BM590" s="233"/>
      <c r="BN590" s="233"/>
      <c r="BO590" s="233"/>
      <c r="BP590" s="233"/>
      <c r="BQ590" s="233"/>
      <c r="BR590" s="233"/>
      <c r="BS590" s="233"/>
      <c r="BT590" s="233"/>
      <c r="BU590" s="233"/>
      <c r="BV590" s="233"/>
      <c r="BW590" s="233"/>
      <c r="BX590" s="233"/>
      <c r="BY590" s="233"/>
      <c r="BZ590" s="233"/>
      <c r="CA590" s="233"/>
    </row>
    <row r="591" spans="43:79" x14ac:dyDescent="0.25">
      <c r="AQ591" s="233"/>
      <c r="AR591" s="233"/>
      <c r="AS591" s="233"/>
      <c r="AT591" s="233"/>
      <c r="AU591" s="233"/>
      <c r="AV591" s="233"/>
      <c r="AW591" s="233"/>
      <c r="AX591" s="233"/>
      <c r="AY591" s="233"/>
      <c r="AZ591" s="233"/>
      <c r="BA591" s="233"/>
      <c r="BB591" s="233"/>
      <c r="BC591" s="233"/>
      <c r="BD591" s="233"/>
      <c r="BE591" s="233"/>
      <c r="BF591" s="233"/>
      <c r="BG591" s="233"/>
      <c r="BH591" s="233"/>
      <c r="BI591" s="233"/>
      <c r="BJ591" s="233"/>
      <c r="BK591" s="233"/>
      <c r="BL591" s="233"/>
      <c r="BM591" s="233"/>
      <c r="BN591" s="233"/>
      <c r="BO591" s="233"/>
      <c r="BP591" s="233"/>
      <c r="BQ591" s="233"/>
      <c r="BR591" s="233"/>
      <c r="BS591" s="233"/>
      <c r="BT591" s="233"/>
      <c r="BU591" s="233"/>
      <c r="BV591" s="233"/>
      <c r="BW591" s="233"/>
      <c r="BX591" s="233"/>
      <c r="BY591" s="233"/>
      <c r="BZ591" s="233"/>
      <c r="CA591" s="233"/>
    </row>
    <row r="592" spans="43:79" x14ac:dyDescent="0.25">
      <c r="AQ592" s="233"/>
      <c r="AR592" s="233"/>
      <c r="AS592" s="233"/>
      <c r="AT592" s="233"/>
      <c r="AU592" s="233"/>
      <c r="AV592" s="233"/>
      <c r="AW592" s="233"/>
      <c r="AX592" s="233"/>
      <c r="AY592" s="233"/>
      <c r="AZ592" s="233"/>
      <c r="BA592" s="233"/>
      <c r="BB592" s="233"/>
      <c r="BC592" s="233"/>
      <c r="BD592" s="233"/>
      <c r="BE592" s="233"/>
      <c r="BF592" s="233"/>
      <c r="BG592" s="233"/>
      <c r="BH592" s="233"/>
      <c r="BI592" s="233"/>
      <c r="BJ592" s="233"/>
      <c r="BK592" s="233"/>
      <c r="BL592" s="233"/>
      <c r="BM592" s="233"/>
      <c r="BN592" s="233"/>
      <c r="BO592" s="233"/>
      <c r="BP592" s="233"/>
      <c r="BQ592" s="233"/>
      <c r="BR592" s="233"/>
      <c r="BS592" s="233"/>
      <c r="BT592" s="233"/>
      <c r="BU592" s="233"/>
      <c r="BV592" s="233"/>
      <c r="BW592" s="233"/>
      <c r="BX592" s="233"/>
      <c r="BY592" s="233"/>
      <c r="BZ592" s="233"/>
      <c r="CA592" s="233"/>
    </row>
    <row r="593" spans="43:79" x14ac:dyDescent="0.25">
      <c r="AQ593" s="233"/>
      <c r="AR593" s="233"/>
      <c r="AS593" s="233"/>
      <c r="AT593" s="233"/>
      <c r="AU593" s="233"/>
      <c r="AV593" s="233"/>
      <c r="AW593" s="233"/>
      <c r="AX593" s="233"/>
      <c r="AY593" s="233"/>
      <c r="AZ593" s="233"/>
      <c r="BA593" s="233"/>
      <c r="BB593" s="233"/>
      <c r="BC593" s="233"/>
      <c r="BD593" s="233"/>
      <c r="BE593" s="233"/>
      <c r="BF593" s="233"/>
      <c r="BG593" s="233"/>
      <c r="BH593" s="233"/>
      <c r="BI593" s="233"/>
      <c r="BJ593" s="233"/>
      <c r="BK593" s="233"/>
      <c r="BL593" s="233"/>
      <c r="BM593" s="233"/>
      <c r="BN593" s="233"/>
      <c r="BO593" s="233"/>
      <c r="BP593" s="233"/>
      <c r="BQ593" s="233"/>
      <c r="BR593" s="233"/>
      <c r="BS593" s="233"/>
      <c r="BT593" s="233"/>
      <c r="BU593" s="233"/>
      <c r="BV593" s="233"/>
      <c r="BW593" s="233"/>
      <c r="BX593" s="233"/>
      <c r="BY593" s="233"/>
      <c r="BZ593" s="233"/>
      <c r="CA593" s="233"/>
    </row>
    <row r="594" spans="43:79" x14ac:dyDescent="0.25">
      <c r="AQ594" s="233"/>
      <c r="AR594" s="233"/>
      <c r="AS594" s="233"/>
      <c r="AT594" s="233"/>
      <c r="AU594" s="233"/>
      <c r="AV594" s="233"/>
      <c r="AW594" s="233"/>
      <c r="AX594" s="233"/>
      <c r="AY594" s="233"/>
      <c r="AZ594" s="233"/>
      <c r="BA594" s="233"/>
      <c r="BB594" s="233"/>
      <c r="BC594" s="233"/>
      <c r="BD594" s="233"/>
      <c r="BE594" s="233"/>
      <c r="BF594" s="233"/>
      <c r="BG594" s="233"/>
      <c r="BH594" s="233"/>
      <c r="BI594" s="233"/>
      <c r="BJ594" s="233"/>
      <c r="BK594" s="233"/>
      <c r="BL594" s="233"/>
      <c r="BM594" s="233"/>
      <c r="BN594" s="233"/>
      <c r="BO594" s="233"/>
      <c r="BP594" s="233"/>
      <c r="BQ594" s="233"/>
      <c r="BR594" s="233"/>
      <c r="BS594" s="233"/>
      <c r="BT594" s="233"/>
      <c r="BU594" s="233"/>
      <c r="BV594" s="233"/>
      <c r="BW594" s="233"/>
      <c r="BX594" s="233"/>
      <c r="BY594" s="233"/>
      <c r="BZ594" s="233"/>
      <c r="CA594" s="233"/>
    </row>
    <row r="595" spans="43:79" x14ac:dyDescent="0.25">
      <c r="AQ595" s="233"/>
      <c r="AR595" s="233"/>
      <c r="AS595" s="233"/>
      <c r="AT595" s="233"/>
      <c r="AU595" s="233"/>
      <c r="AV595" s="233"/>
      <c r="AW595" s="233"/>
      <c r="AX595" s="233"/>
      <c r="AY595" s="233"/>
      <c r="AZ595" s="233"/>
      <c r="BA595" s="233"/>
      <c r="BB595" s="233"/>
      <c r="BC595" s="233"/>
      <c r="BD595" s="233"/>
      <c r="BE595" s="233"/>
      <c r="BF595" s="233"/>
      <c r="BG595" s="233"/>
      <c r="BH595" s="233"/>
      <c r="BI595" s="233"/>
      <c r="BJ595" s="233"/>
      <c r="BK595" s="233"/>
      <c r="BL595" s="233"/>
      <c r="BM595" s="233"/>
      <c r="BN595" s="233"/>
      <c r="BO595" s="233"/>
      <c r="BP595" s="233"/>
      <c r="BQ595" s="233"/>
      <c r="BR595" s="233"/>
      <c r="BS595" s="233"/>
      <c r="BT595" s="233"/>
      <c r="BU595" s="233"/>
      <c r="BV595" s="233"/>
      <c r="BW595" s="233"/>
      <c r="BX595" s="233"/>
      <c r="BY595" s="233"/>
      <c r="BZ595" s="233"/>
      <c r="CA595" s="233"/>
    </row>
    <row r="596" spans="43:79" x14ac:dyDescent="0.25">
      <c r="AQ596" s="233"/>
      <c r="AR596" s="233"/>
      <c r="AS596" s="233"/>
      <c r="AT596" s="233"/>
      <c r="AU596" s="233"/>
      <c r="AV596" s="233"/>
      <c r="AW596" s="233"/>
      <c r="AX596" s="233"/>
      <c r="AY596" s="233"/>
      <c r="AZ596" s="233"/>
      <c r="BA596" s="233"/>
      <c r="BB596" s="233"/>
      <c r="BC596" s="233"/>
      <c r="BD596" s="233"/>
      <c r="BE596" s="233"/>
      <c r="BF596" s="233"/>
      <c r="BG596" s="233"/>
      <c r="BH596" s="233"/>
      <c r="BI596" s="233"/>
      <c r="BJ596" s="233"/>
      <c r="BK596" s="233"/>
      <c r="BL596" s="233"/>
      <c r="BM596" s="233"/>
      <c r="BN596" s="233"/>
      <c r="BO596" s="233"/>
      <c r="BP596" s="233"/>
      <c r="BQ596" s="233"/>
      <c r="BR596" s="233"/>
      <c r="BS596" s="233"/>
      <c r="BT596" s="233"/>
      <c r="BU596" s="233"/>
      <c r="BV596" s="233"/>
      <c r="BW596" s="233"/>
      <c r="BX596" s="233"/>
      <c r="BY596" s="233"/>
      <c r="BZ596" s="233"/>
      <c r="CA596" s="233"/>
    </row>
    <row r="597" spans="43:79" x14ac:dyDescent="0.25">
      <c r="AQ597" s="233"/>
      <c r="AR597" s="233"/>
      <c r="AS597" s="233"/>
      <c r="AT597" s="233"/>
      <c r="AU597" s="233"/>
      <c r="AV597" s="233"/>
      <c r="AW597" s="233"/>
      <c r="AX597" s="233"/>
      <c r="AY597" s="233"/>
      <c r="AZ597" s="233"/>
      <c r="BA597" s="233"/>
      <c r="BB597" s="233"/>
      <c r="BC597" s="233"/>
      <c r="BD597" s="233"/>
      <c r="BE597" s="233"/>
      <c r="BF597" s="233"/>
      <c r="BG597" s="233"/>
      <c r="BH597" s="233"/>
      <c r="BI597" s="233"/>
      <c r="BJ597" s="233"/>
      <c r="BK597" s="233"/>
      <c r="BL597" s="233"/>
      <c r="BM597" s="233"/>
      <c r="BN597" s="233"/>
      <c r="BO597" s="233"/>
      <c r="BP597" s="233"/>
      <c r="BQ597" s="233"/>
      <c r="BR597" s="233"/>
      <c r="BS597" s="233"/>
      <c r="BT597" s="233"/>
      <c r="BU597" s="233"/>
      <c r="BV597" s="233"/>
      <c r="BW597" s="233"/>
      <c r="BX597" s="233"/>
      <c r="BY597" s="233"/>
      <c r="BZ597" s="233"/>
      <c r="CA597" s="233"/>
    </row>
    <row r="598" spans="43:79" x14ac:dyDescent="0.25">
      <c r="AQ598" s="233"/>
      <c r="AR598" s="233"/>
      <c r="AS598" s="233"/>
      <c r="AT598" s="233"/>
      <c r="AU598" s="233"/>
      <c r="AV598" s="233"/>
      <c r="AW598" s="233"/>
      <c r="AX598" s="233"/>
      <c r="AY598" s="233"/>
      <c r="AZ598" s="233"/>
      <c r="BA598" s="233"/>
      <c r="BB598" s="233"/>
      <c r="BC598" s="233"/>
      <c r="BD598" s="233"/>
      <c r="BE598" s="233"/>
      <c r="BF598" s="233"/>
      <c r="BG598" s="233"/>
      <c r="BH598" s="233"/>
      <c r="BI598" s="233"/>
      <c r="BJ598" s="233"/>
      <c r="BK598" s="233"/>
      <c r="BL598" s="233"/>
      <c r="BM598" s="233"/>
      <c r="BN598" s="233"/>
      <c r="BO598" s="233"/>
      <c r="BP598" s="233"/>
      <c r="BQ598" s="233"/>
      <c r="BR598" s="233"/>
      <c r="BS598" s="233"/>
      <c r="BT598" s="233"/>
      <c r="BU598" s="233"/>
      <c r="BV598" s="233"/>
      <c r="BW598" s="233"/>
      <c r="BX598" s="233"/>
      <c r="BY598" s="233"/>
      <c r="BZ598" s="233"/>
      <c r="CA598" s="233"/>
    </row>
    <row r="599" spans="43:79" x14ac:dyDescent="0.25">
      <c r="AQ599" s="233"/>
      <c r="AR599" s="233"/>
      <c r="AS599" s="233"/>
      <c r="AT599" s="233"/>
      <c r="AU599" s="233"/>
      <c r="AV599" s="233"/>
      <c r="AW599" s="233"/>
      <c r="AX599" s="233"/>
      <c r="AY599" s="233"/>
      <c r="AZ599" s="233"/>
      <c r="BA599" s="233"/>
      <c r="BB599" s="233"/>
      <c r="BC599" s="233"/>
      <c r="BD599" s="233"/>
      <c r="BE599" s="233"/>
      <c r="BF599" s="233"/>
      <c r="BG599" s="233"/>
      <c r="BH599" s="233"/>
      <c r="BI599" s="233"/>
      <c r="BJ599" s="233"/>
      <c r="BK599" s="233"/>
      <c r="BL599" s="233"/>
      <c r="BM599" s="233"/>
      <c r="BN599" s="233"/>
      <c r="BO599" s="233"/>
      <c r="BP599" s="233"/>
      <c r="BQ599" s="233"/>
      <c r="BR599" s="233"/>
      <c r="BS599" s="233"/>
      <c r="BT599" s="233"/>
      <c r="BU599" s="233"/>
      <c r="BV599" s="233"/>
      <c r="BW599" s="233"/>
      <c r="BX599" s="233"/>
      <c r="BY599" s="233"/>
      <c r="BZ599" s="233"/>
      <c r="CA599" s="233"/>
    </row>
    <row r="600" spans="43:79" x14ac:dyDescent="0.25">
      <c r="AQ600" s="233"/>
      <c r="AR600" s="233"/>
      <c r="AS600" s="233"/>
      <c r="AT600" s="233"/>
      <c r="AU600" s="233"/>
      <c r="AV600" s="233"/>
      <c r="AW600" s="233"/>
      <c r="AX600" s="233"/>
      <c r="AY600" s="233"/>
      <c r="AZ600" s="233"/>
      <c r="BA600" s="233"/>
      <c r="BB600" s="233"/>
      <c r="BC600" s="233"/>
      <c r="BD600" s="233"/>
      <c r="BE600" s="233"/>
      <c r="BF600" s="233"/>
      <c r="BG600" s="233"/>
      <c r="BH600" s="233"/>
      <c r="BI600" s="233"/>
      <c r="BJ600" s="233"/>
      <c r="BK600" s="233"/>
      <c r="BL600" s="233"/>
      <c r="BM600" s="233"/>
      <c r="BN600" s="233"/>
      <c r="BO600" s="233"/>
      <c r="BP600" s="233"/>
      <c r="BQ600" s="233"/>
      <c r="BR600" s="233"/>
      <c r="BS600" s="233"/>
      <c r="BT600" s="233"/>
      <c r="BU600" s="233"/>
      <c r="BV600" s="233"/>
      <c r="BW600" s="233"/>
      <c r="BX600" s="233"/>
      <c r="BY600" s="233"/>
      <c r="BZ600" s="233"/>
      <c r="CA600" s="233"/>
    </row>
    <row r="601" spans="43:79" x14ac:dyDescent="0.25">
      <c r="AQ601" s="233"/>
      <c r="AR601" s="233"/>
      <c r="AS601" s="233"/>
      <c r="AT601" s="233"/>
      <c r="AU601" s="233"/>
      <c r="AV601" s="233"/>
      <c r="AW601" s="233"/>
      <c r="AX601" s="233"/>
      <c r="AY601" s="233"/>
      <c r="AZ601" s="233"/>
      <c r="BA601" s="233"/>
      <c r="BB601" s="233"/>
      <c r="BC601" s="233"/>
      <c r="BD601" s="233"/>
      <c r="BE601" s="233"/>
      <c r="BF601" s="233"/>
      <c r="BG601" s="233"/>
      <c r="BH601" s="233"/>
      <c r="BI601" s="233"/>
      <c r="BJ601" s="233"/>
      <c r="BK601" s="233"/>
      <c r="BL601" s="233"/>
      <c r="BM601" s="233"/>
      <c r="BN601" s="233"/>
      <c r="BO601" s="233"/>
      <c r="BP601" s="233"/>
      <c r="BQ601" s="233"/>
      <c r="BR601" s="233"/>
      <c r="BS601" s="233"/>
      <c r="BT601" s="233"/>
      <c r="BU601" s="233"/>
      <c r="BV601" s="233"/>
      <c r="BW601" s="233"/>
      <c r="BX601" s="233"/>
      <c r="BY601" s="233"/>
      <c r="BZ601" s="233"/>
      <c r="CA601" s="233"/>
    </row>
    <row r="602" spans="43:79" x14ac:dyDescent="0.25">
      <c r="AQ602" s="233"/>
      <c r="AR602" s="233"/>
      <c r="AS602" s="233"/>
      <c r="AT602" s="233"/>
      <c r="AU602" s="233"/>
      <c r="AV602" s="233"/>
      <c r="AW602" s="233"/>
      <c r="AX602" s="233"/>
      <c r="AY602" s="233"/>
      <c r="AZ602" s="233"/>
      <c r="BA602" s="233"/>
      <c r="BB602" s="233"/>
      <c r="BC602" s="233"/>
      <c r="BD602" s="233"/>
      <c r="BE602" s="233"/>
      <c r="BF602" s="233"/>
      <c r="BG602" s="233"/>
      <c r="BH602" s="233"/>
      <c r="BI602" s="233"/>
      <c r="BJ602" s="233"/>
      <c r="BK602" s="233"/>
      <c r="BL602" s="233"/>
      <c r="BM602" s="233"/>
      <c r="BN602" s="233"/>
      <c r="BO602" s="233"/>
      <c r="BP602" s="233"/>
      <c r="BQ602" s="233"/>
      <c r="BR602" s="233"/>
      <c r="BS602" s="233"/>
      <c r="BT602" s="233"/>
      <c r="BU602" s="233"/>
      <c r="BV602" s="233"/>
      <c r="BW602" s="233"/>
      <c r="BX602" s="233"/>
      <c r="BY602" s="233"/>
      <c r="BZ602" s="233"/>
      <c r="CA602" s="233"/>
    </row>
    <row r="603" spans="43:79" x14ac:dyDescent="0.25">
      <c r="AQ603" s="233"/>
      <c r="AR603" s="233"/>
      <c r="AS603" s="233"/>
      <c r="AT603" s="233"/>
      <c r="AU603" s="233"/>
      <c r="AV603" s="233"/>
      <c r="AW603" s="233"/>
      <c r="AX603" s="233"/>
      <c r="AY603" s="233"/>
      <c r="AZ603" s="233"/>
      <c r="BA603" s="233"/>
      <c r="BB603" s="233"/>
      <c r="BC603" s="233"/>
      <c r="BD603" s="233"/>
      <c r="BE603" s="233"/>
      <c r="BF603" s="233"/>
      <c r="BG603" s="233"/>
      <c r="BH603" s="233"/>
      <c r="BI603" s="233"/>
      <c r="BJ603" s="233"/>
      <c r="BK603" s="233"/>
      <c r="BL603" s="233"/>
      <c r="BM603" s="233"/>
      <c r="BN603" s="233"/>
      <c r="BO603" s="233"/>
      <c r="BP603" s="233"/>
      <c r="BQ603" s="233"/>
      <c r="BR603" s="233"/>
      <c r="BS603" s="233"/>
      <c r="BT603" s="233"/>
      <c r="BU603" s="233"/>
      <c r="BV603" s="233"/>
      <c r="BW603" s="233"/>
      <c r="BX603" s="233"/>
      <c r="BY603" s="233"/>
      <c r="BZ603" s="233"/>
      <c r="CA603" s="233"/>
    </row>
    <row r="604" spans="43:79" x14ac:dyDescent="0.25">
      <c r="AQ604" s="233"/>
      <c r="AR604" s="233"/>
      <c r="AS604" s="233"/>
      <c r="AT604" s="233"/>
      <c r="AU604" s="233"/>
      <c r="AV604" s="233"/>
      <c r="AW604" s="233"/>
      <c r="AX604" s="233"/>
      <c r="AY604" s="233"/>
      <c r="AZ604" s="233"/>
      <c r="BA604" s="233"/>
      <c r="BB604" s="233"/>
      <c r="BC604" s="233"/>
      <c r="BD604" s="233"/>
      <c r="BE604" s="233"/>
      <c r="BF604" s="233"/>
      <c r="BG604" s="233"/>
      <c r="BH604" s="233"/>
      <c r="BI604" s="233"/>
      <c r="BJ604" s="233"/>
      <c r="BK604" s="233"/>
      <c r="BL604" s="233"/>
      <c r="BM604" s="233"/>
      <c r="BN604" s="233"/>
      <c r="BO604" s="233"/>
      <c r="BP604" s="233"/>
      <c r="BQ604" s="233"/>
      <c r="BR604" s="233"/>
      <c r="BS604" s="233"/>
      <c r="BT604" s="233"/>
      <c r="BU604" s="233"/>
      <c r="BV604" s="233"/>
      <c r="BW604" s="233"/>
      <c r="BX604" s="233"/>
      <c r="BY604" s="233"/>
      <c r="BZ604" s="233"/>
      <c r="CA604" s="233"/>
    </row>
    <row r="605" spans="43:79" x14ac:dyDescent="0.25">
      <c r="AQ605" s="233"/>
      <c r="AR605" s="233"/>
      <c r="AS605" s="233"/>
      <c r="AT605" s="233"/>
      <c r="AU605" s="233"/>
      <c r="AV605" s="233"/>
      <c r="AW605" s="233"/>
      <c r="AX605" s="233"/>
      <c r="AY605" s="233"/>
      <c r="AZ605" s="233"/>
      <c r="BA605" s="233"/>
      <c r="BB605" s="233"/>
      <c r="BC605" s="233"/>
      <c r="BD605" s="233"/>
      <c r="BE605" s="233"/>
      <c r="BF605" s="233"/>
      <c r="BG605" s="233"/>
      <c r="BH605" s="233"/>
      <c r="BI605" s="233"/>
      <c r="BJ605" s="233"/>
      <c r="BK605" s="233"/>
      <c r="BL605" s="233"/>
      <c r="BM605" s="233"/>
      <c r="BN605" s="233"/>
      <c r="BO605" s="233"/>
      <c r="BP605" s="233"/>
      <c r="BQ605" s="233"/>
      <c r="BR605" s="233"/>
      <c r="BS605" s="233"/>
      <c r="BT605" s="233"/>
      <c r="BU605" s="233"/>
      <c r="BV605" s="233"/>
      <c r="BW605" s="233"/>
      <c r="BX605" s="233"/>
      <c r="BY605" s="233"/>
      <c r="BZ605" s="233"/>
      <c r="CA605" s="233"/>
    </row>
    <row r="606" spans="43:79" x14ac:dyDescent="0.25">
      <c r="AQ606" s="233"/>
      <c r="AR606" s="233"/>
      <c r="AS606" s="233"/>
      <c r="AT606" s="233"/>
      <c r="AU606" s="233"/>
      <c r="AV606" s="233"/>
      <c r="AW606" s="233"/>
      <c r="AX606" s="233"/>
      <c r="AY606" s="233"/>
      <c r="AZ606" s="233"/>
      <c r="BA606" s="233"/>
      <c r="BB606" s="233"/>
      <c r="BC606" s="233"/>
      <c r="BD606" s="233"/>
      <c r="BE606" s="233"/>
      <c r="BF606" s="233"/>
      <c r="BG606" s="233"/>
      <c r="BH606" s="233"/>
      <c r="BI606" s="233"/>
      <c r="BJ606" s="233"/>
      <c r="BK606" s="233"/>
      <c r="BL606" s="233"/>
      <c r="BM606" s="233"/>
      <c r="BN606" s="233"/>
      <c r="BO606" s="233"/>
      <c r="BP606" s="233"/>
      <c r="BQ606" s="233"/>
      <c r="BR606" s="233"/>
      <c r="BS606" s="233"/>
      <c r="BT606" s="233"/>
      <c r="BU606" s="233"/>
      <c r="BV606" s="233"/>
      <c r="BW606" s="233"/>
      <c r="BX606" s="233"/>
      <c r="BY606" s="233"/>
      <c r="BZ606" s="233"/>
      <c r="CA606" s="233"/>
    </row>
    <row r="607" spans="43:79" x14ac:dyDescent="0.25">
      <c r="AQ607" s="233"/>
      <c r="AR607" s="233"/>
      <c r="AS607" s="233"/>
      <c r="AT607" s="233"/>
      <c r="AU607" s="233"/>
      <c r="AV607" s="233"/>
      <c r="AW607" s="233"/>
      <c r="AX607" s="233"/>
      <c r="AY607" s="233"/>
      <c r="AZ607" s="233"/>
      <c r="BA607" s="233"/>
      <c r="BB607" s="233"/>
      <c r="BC607" s="233"/>
      <c r="BD607" s="233"/>
      <c r="BE607" s="233"/>
      <c r="BF607" s="233"/>
      <c r="BG607" s="233"/>
      <c r="BH607" s="233"/>
      <c r="BI607" s="233"/>
      <c r="BJ607" s="233"/>
      <c r="BK607" s="233"/>
      <c r="BL607" s="233"/>
      <c r="BM607" s="233"/>
      <c r="BN607" s="233"/>
      <c r="BO607" s="233"/>
      <c r="BP607" s="233"/>
      <c r="BQ607" s="233"/>
      <c r="BR607" s="233"/>
      <c r="BS607" s="233"/>
      <c r="BT607" s="233"/>
      <c r="BU607" s="233"/>
      <c r="BV607" s="233"/>
      <c r="BW607" s="233"/>
      <c r="BX607" s="233"/>
      <c r="BY607" s="233"/>
      <c r="BZ607" s="233"/>
      <c r="CA607" s="233"/>
    </row>
    <row r="608" spans="43:79" x14ac:dyDescent="0.25">
      <c r="AQ608" s="233"/>
      <c r="AR608" s="233"/>
      <c r="AS608" s="233"/>
      <c r="AT608" s="233"/>
      <c r="AU608" s="233"/>
      <c r="AV608" s="233"/>
      <c r="AW608" s="233"/>
      <c r="AX608" s="233"/>
      <c r="AY608" s="233"/>
      <c r="AZ608" s="233"/>
      <c r="BA608" s="233"/>
      <c r="BB608" s="233"/>
      <c r="BC608" s="233"/>
      <c r="BD608" s="233"/>
      <c r="BE608" s="233"/>
      <c r="BF608" s="233"/>
      <c r="BG608" s="233"/>
      <c r="BH608" s="233"/>
      <c r="BI608" s="233"/>
      <c r="BJ608" s="233"/>
      <c r="BK608" s="233"/>
      <c r="BL608" s="233"/>
      <c r="BM608" s="233"/>
      <c r="BN608" s="233"/>
      <c r="BO608" s="233"/>
      <c r="BP608" s="233"/>
      <c r="BQ608" s="233"/>
      <c r="BR608" s="233"/>
      <c r="BS608" s="233"/>
      <c r="BT608" s="233"/>
      <c r="BU608" s="233"/>
      <c r="BV608" s="233"/>
      <c r="BW608" s="233"/>
      <c r="BX608" s="233"/>
      <c r="BY608" s="233"/>
      <c r="BZ608" s="233"/>
      <c r="CA608" s="233"/>
    </row>
    <row r="609" spans="43:79" ht="15" customHeight="1" x14ac:dyDescent="0.25">
      <c r="AQ609" s="233"/>
      <c r="AR609" s="233"/>
      <c r="AS609" s="233"/>
      <c r="AT609" s="233"/>
      <c r="AU609" s="233"/>
      <c r="AV609" s="233"/>
      <c r="AW609" s="233"/>
      <c r="AX609" s="233"/>
      <c r="AY609" s="233"/>
      <c r="AZ609" s="233"/>
      <c r="BA609" s="233"/>
      <c r="BB609" s="233"/>
      <c r="BC609" s="233"/>
      <c r="BD609" s="233"/>
      <c r="BE609" s="233"/>
      <c r="BF609" s="233"/>
      <c r="BG609" s="233"/>
      <c r="BH609" s="233"/>
      <c r="BI609" s="233"/>
      <c r="BJ609" s="233"/>
      <c r="BK609" s="233"/>
      <c r="BL609" s="233"/>
      <c r="BM609" s="233"/>
      <c r="BN609" s="233"/>
      <c r="BO609" s="233"/>
      <c r="BP609" s="233"/>
      <c r="BQ609" s="233"/>
      <c r="BR609" s="233"/>
      <c r="BS609" s="233"/>
      <c r="BT609" s="233"/>
      <c r="BU609" s="233"/>
      <c r="BV609" s="233"/>
      <c r="BW609" s="233"/>
      <c r="BX609" s="233"/>
      <c r="BY609" s="233"/>
      <c r="BZ609" s="233"/>
      <c r="CA609" s="233"/>
    </row>
    <row r="610" spans="43:79" ht="15" customHeight="1" x14ac:dyDescent="0.25">
      <c r="AQ610" s="233"/>
      <c r="AR610" s="233"/>
      <c r="AS610" s="233"/>
      <c r="AT610" s="233"/>
      <c r="AU610" s="233"/>
      <c r="AV610" s="233"/>
      <c r="AW610" s="233"/>
      <c r="AX610" s="233"/>
      <c r="AY610" s="233"/>
      <c r="AZ610" s="233"/>
      <c r="BA610" s="233"/>
      <c r="BB610" s="233"/>
      <c r="BC610" s="233"/>
      <c r="BD610" s="233"/>
      <c r="BE610" s="233"/>
      <c r="BF610" s="233"/>
      <c r="BG610" s="233"/>
      <c r="BH610" s="233"/>
      <c r="BI610" s="233"/>
      <c r="BJ610" s="233"/>
      <c r="BK610" s="233"/>
      <c r="BL610" s="233"/>
      <c r="BM610" s="233"/>
      <c r="BN610" s="233"/>
      <c r="BO610" s="233"/>
      <c r="BP610" s="233"/>
      <c r="BQ610" s="233"/>
      <c r="BR610" s="233"/>
      <c r="BS610" s="233"/>
      <c r="BT610" s="233"/>
      <c r="BU610" s="233"/>
      <c r="BV610" s="233"/>
      <c r="BW610" s="233"/>
      <c r="BX610" s="233"/>
      <c r="BY610" s="233"/>
      <c r="BZ610" s="233"/>
      <c r="CA610" s="233"/>
    </row>
    <row r="611" spans="43:79" x14ac:dyDescent="0.25">
      <c r="AQ611" s="233"/>
      <c r="AR611" s="233"/>
      <c r="AS611" s="233"/>
      <c r="AT611" s="233"/>
      <c r="AU611" s="233"/>
      <c r="AV611" s="233"/>
      <c r="AW611" s="233"/>
      <c r="AX611" s="233"/>
      <c r="AY611" s="233"/>
      <c r="AZ611" s="233"/>
      <c r="BA611" s="233"/>
      <c r="BB611" s="233"/>
      <c r="BC611" s="233"/>
      <c r="BD611" s="233"/>
      <c r="BE611" s="233"/>
      <c r="BF611" s="233"/>
      <c r="BG611" s="233"/>
      <c r="BH611" s="233"/>
      <c r="BI611" s="233"/>
      <c r="BJ611" s="233"/>
      <c r="BK611" s="233"/>
      <c r="BL611" s="233"/>
      <c r="BM611" s="233"/>
      <c r="BN611" s="233"/>
      <c r="BO611" s="233"/>
      <c r="BP611" s="233"/>
      <c r="BQ611" s="233"/>
      <c r="BR611" s="233"/>
      <c r="BS611" s="233"/>
      <c r="BT611" s="233"/>
      <c r="BU611" s="233"/>
      <c r="BV611" s="233"/>
      <c r="BW611" s="233"/>
      <c r="BX611" s="233"/>
      <c r="BY611" s="233"/>
      <c r="BZ611" s="233"/>
      <c r="CA611" s="233"/>
    </row>
    <row r="612" spans="43:79" x14ac:dyDescent="0.25">
      <c r="AQ612" s="233"/>
      <c r="AR612" s="233"/>
      <c r="AS612" s="233"/>
      <c r="AT612" s="233"/>
      <c r="AU612" s="233"/>
      <c r="AV612" s="233"/>
      <c r="AW612" s="233"/>
      <c r="AX612" s="233"/>
      <c r="AY612" s="233"/>
      <c r="AZ612" s="233"/>
      <c r="BA612" s="233"/>
      <c r="BB612" s="233"/>
      <c r="BC612" s="233"/>
      <c r="BD612" s="233"/>
      <c r="BE612" s="233"/>
      <c r="BF612" s="233"/>
      <c r="BG612" s="233"/>
      <c r="BH612" s="233"/>
      <c r="BI612" s="233"/>
      <c r="BJ612" s="233"/>
      <c r="BK612" s="233"/>
      <c r="BL612" s="233"/>
      <c r="BM612" s="233"/>
      <c r="BN612" s="233"/>
      <c r="BO612" s="233"/>
      <c r="BP612" s="233"/>
      <c r="BQ612" s="233"/>
      <c r="BR612" s="233"/>
      <c r="BS612" s="233"/>
      <c r="BT612" s="233"/>
      <c r="BU612" s="233"/>
      <c r="BV612" s="233"/>
      <c r="BW612" s="233"/>
      <c r="BX612" s="233"/>
      <c r="BY612" s="233"/>
      <c r="BZ612" s="233"/>
      <c r="CA612" s="233"/>
    </row>
    <row r="613" spans="43:79" x14ac:dyDescent="0.25">
      <c r="AQ613" s="233"/>
      <c r="AR613" s="233"/>
      <c r="AS613" s="233"/>
      <c r="AT613" s="233"/>
      <c r="AU613" s="233"/>
      <c r="AV613" s="233"/>
      <c r="AW613" s="233"/>
      <c r="AX613" s="233"/>
      <c r="AY613" s="233"/>
      <c r="AZ613" s="233"/>
      <c r="BA613" s="233"/>
      <c r="BB613" s="233"/>
      <c r="BC613" s="233"/>
      <c r="BD613" s="233"/>
      <c r="BE613" s="233"/>
      <c r="BF613" s="233"/>
      <c r="BG613" s="233"/>
      <c r="BH613" s="233"/>
      <c r="BI613" s="233"/>
      <c r="BJ613" s="233"/>
      <c r="BK613" s="233"/>
      <c r="BL613" s="233"/>
      <c r="BM613" s="233"/>
      <c r="BN613" s="233"/>
      <c r="BO613" s="233"/>
      <c r="BP613" s="233"/>
      <c r="BQ613" s="233"/>
      <c r="BR613" s="233"/>
      <c r="BS613" s="233"/>
      <c r="BT613" s="233"/>
      <c r="BU613" s="233"/>
      <c r="BV613" s="233"/>
      <c r="BW613" s="233"/>
      <c r="BX613" s="233"/>
      <c r="BY613" s="233"/>
      <c r="BZ613" s="233"/>
      <c r="CA613" s="233"/>
    </row>
    <row r="614" spans="43:79" x14ac:dyDescent="0.25">
      <c r="AQ614" s="233"/>
      <c r="AR614" s="233"/>
      <c r="AS614" s="233"/>
      <c r="AT614" s="233"/>
      <c r="AU614" s="233"/>
      <c r="AV614" s="233"/>
      <c r="AW614" s="233"/>
      <c r="AX614" s="233"/>
      <c r="AY614" s="233"/>
      <c r="AZ614" s="233"/>
      <c r="BA614" s="233"/>
      <c r="BB614" s="233"/>
      <c r="BC614" s="233"/>
      <c r="BD614" s="233"/>
      <c r="BE614" s="233"/>
      <c r="BF614" s="233"/>
      <c r="BG614" s="233"/>
      <c r="BH614" s="233"/>
      <c r="BI614" s="233"/>
      <c r="BJ614" s="233"/>
      <c r="BK614" s="233"/>
      <c r="BL614" s="233"/>
      <c r="BM614" s="233"/>
      <c r="BN614" s="233"/>
      <c r="BO614" s="233"/>
      <c r="BP614" s="233"/>
      <c r="BQ614" s="233"/>
      <c r="BR614" s="233"/>
      <c r="BS614" s="233"/>
      <c r="BT614" s="233"/>
      <c r="BU614" s="233"/>
      <c r="BV614" s="233"/>
      <c r="BW614" s="233"/>
      <c r="BX614" s="233"/>
      <c r="BY614" s="233"/>
      <c r="BZ614" s="233"/>
      <c r="CA614" s="233"/>
    </row>
    <row r="615" spans="43:79" x14ac:dyDescent="0.25">
      <c r="AQ615" s="233"/>
      <c r="AR615" s="233"/>
      <c r="AS615" s="233"/>
      <c r="AT615" s="233"/>
      <c r="AU615" s="233"/>
      <c r="AV615" s="233"/>
      <c r="AW615" s="233"/>
      <c r="AX615" s="233"/>
      <c r="AY615" s="233"/>
      <c r="AZ615" s="233"/>
      <c r="BA615" s="233"/>
      <c r="BB615" s="233"/>
      <c r="BC615" s="233"/>
      <c r="BD615" s="233"/>
      <c r="BE615" s="233"/>
      <c r="BF615" s="233"/>
      <c r="BG615" s="233"/>
      <c r="BH615" s="233"/>
      <c r="BI615" s="233"/>
      <c r="BJ615" s="233"/>
      <c r="BK615" s="233"/>
      <c r="BL615" s="233"/>
      <c r="BM615" s="233"/>
      <c r="BN615" s="233"/>
      <c r="BO615" s="233"/>
      <c r="BP615" s="233"/>
      <c r="BQ615" s="233"/>
      <c r="BR615" s="233"/>
      <c r="BS615" s="233"/>
      <c r="BT615" s="233"/>
      <c r="BU615" s="233"/>
      <c r="BV615" s="233"/>
      <c r="BW615" s="233"/>
      <c r="BX615" s="233"/>
      <c r="BY615" s="233"/>
      <c r="BZ615" s="233"/>
      <c r="CA615" s="233"/>
    </row>
    <row r="616" spans="43:79" x14ac:dyDescent="0.25">
      <c r="AQ616" s="233"/>
      <c r="AR616" s="233"/>
      <c r="AS616" s="233"/>
      <c r="AT616" s="233"/>
      <c r="AU616" s="233"/>
      <c r="AV616" s="233"/>
      <c r="AW616" s="233"/>
      <c r="AX616" s="233"/>
      <c r="AY616" s="233"/>
      <c r="AZ616" s="233"/>
      <c r="BA616" s="233"/>
      <c r="BB616" s="233"/>
      <c r="BC616" s="233"/>
      <c r="BD616" s="233"/>
      <c r="BE616" s="233"/>
      <c r="BF616" s="233"/>
      <c r="BG616" s="233"/>
      <c r="BH616" s="233"/>
      <c r="BI616" s="233"/>
      <c r="BJ616" s="233"/>
      <c r="BK616" s="233"/>
      <c r="BL616" s="233"/>
      <c r="BM616" s="233"/>
      <c r="BN616" s="233"/>
      <c r="BO616" s="233"/>
      <c r="BP616" s="233"/>
      <c r="BQ616" s="233"/>
      <c r="BR616" s="233"/>
      <c r="BS616" s="233"/>
      <c r="BT616" s="233"/>
      <c r="BU616" s="233"/>
      <c r="BV616" s="233"/>
      <c r="BW616" s="233"/>
      <c r="BX616" s="233"/>
      <c r="BY616" s="233"/>
      <c r="BZ616" s="233"/>
      <c r="CA616" s="233"/>
    </row>
    <row r="617" spans="43:79" x14ac:dyDescent="0.25">
      <c r="AQ617" s="233"/>
      <c r="AR617" s="233"/>
      <c r="AS617" s="233"/>
      <c r="AT617" s="233"/>
      <c r="AU617" s="233"/>
      <c r="AV617" s="233"/>
      <c r="AW617" s="233"/>
      <c r="AX617" s="233"/>
      <c r="AY617" s="233"/>
      <c r="AZ617" s="233"/>
      <c r="BA617" s="233"/>
      <c r="BB617" s="233"/>
      <c r="BC617" s="233"/>
      <c r="BD617" s="233"/>
      <c r="BE617" s="233"/>
      <c r="BF617" s="233"/>
      <c r="BG617" s="233"/>
      <c r="BH617" s="233"/>
      <c r="BI617" s="233"/>
      <c r="BJ617" s="233"/>
      <c r="BK617" s="233"/>
      <c r="BL617" s="233"/>
      <c r="BM617" s="233"/>
      <c r="BN617" s="233"/>
      <c r="BO617" s="233"/>
      <c r="BP617" s="233"/>
      <c r="BQ617" s="233"/>
      <c r="BR617" s="233"/>
      <c r="BS617" s="233"/>
      <c r="BT617" s="233"/>
      <c r="BU617" s="233"/>
      <c r="BV617" s="233"/>
      <c r="BW617" s="233"/>
      <c r="BX617" s="233"/>
      <c r="BY617" s="233"/>
      <c r="BZ617" s="233"/>
      <c r="CA617" s="233"/>
    </row>
    <row r="618" spans="43:79" x14ac:dyDescent="0.25">
      <c r="AQ618" s="233"/>
      <c r="AR618" s="233"/>
      <c r="AS618" s="233"/>
      <c r="AT618" s="233"/>
      <c r="AU618" s="233"/>
      <c r="AV618" s="233"/>
      <c r="AW618" s="233"/>
      <c r="AX618" s="233"/>
      <c r="AY618" s="233"/>
      <c r="AZ618" s="233"/>
      <c r="BA618" s="233"/>
      <c r="BB618" s="233"/>
      <c r="BC618" s="233"/>
      <c r="BD618" s="233"/>
      <c r="BE618" s="233"/>
      <c r="BF618" s="233"/>
      <c r="BG618" s="233"/>
      <c r="BH618" s="233"/>
      <c r="BI618" s="233"/>
      <c r="BJ618" s="233"/>
      <c r="BK618" s="233"/>
      <c r="BL618" s="233"/>
      <c r="BM618" s="233"/>
      <c r="BN618" s="233"/>
      <c r="BO618" s="233"/>
      <c r="BP618" s="233"/>
      <c r="BQ618" s="233"/>
      <c r="BR618" s="233"/>
      <c r="BS618" s="233"/>
      <c r="BT618" s="233"/>
      <c r="BU618" s="233"/>
      <c r="BV618" s="233"/>
      <c r="BW618" s="233"/>
      <c r="BX618" s="233"/>
      <c r="BY618" s="233"/>
      <c r="BZ618" s="233"/>
      <c r="CA618" s="233"/>
    </row>
    <row r="619" spans="43:79" ht="15" customHeight="1" x14ac:dyDescent="0.25">
      <c r="AQ619" s="233"/>
      <c r="AR619" s="233"/>
      <c r="AS619" s="233"/>
      <c r="AT619" s="233"/>
      <c r="AU619" s="233"/>
      <c r="AV619" s="233"/>
      <c r="AW619" s="233"/>
      <c r="AX619" s="233"/>
      <c r="AY619" s="233"/>
      <c r="AZ619" s="233"/>
      <c r="BA619" s="233"/>
      <c r="BB619" s="233"/>
      <c r="BC619" s="233"/>
      <c r="BD619" s="233"/>
      <c r="BE619" s="233"/>
      <c r="BF619" s="233"/>
      <c r="BG619" s="233"/>
      <c r="BH619" s="233"/>
      <c r="BI619" s="233"/>
      <c r="BJ619" s="233"/>
      <c r="BK619" s="233"/>
      <c r="BL619" s="233"/>
      <c r="BM619" s="233"/>
      <c r="BN619" s="233"/>
      <c r="BO619" s="233"/>
      <c r="BP619" s="233"/>
      <c r="BQ619" s="233"/>
      <c r="BR619" s="233"/>
      <c r="BS619" s="233"/>
      <c r="BT619" s="233"/>
      <c r="BU619" s="233"/>
      <c r="BV619" s="233"/>
      <c r="BW619" s="233"/>
      <c r="BX619" s="233"/>
      <c r="BY619" s="233"/>
      <c r="BZ619" s="233"/>
      <c r="CA619" s="233"/>
    </row>
    <row r="620" spans="43:79" x14ac:dyDescent="0.25">
      <c r="AQ620" s="233"/>
      <c r="AR620" s="233"/>
      <c r="AS620" s="233"/>
      <c r="AT620" s="233"/>
      <c r="AU620" s="233"/>
      <c r="AV620" s="233"/>
      <c r="AW620" s="233"/>
      <c r="AX620" s="233"/>
      <c r="AY620" s="233"/>
      <c r="AZ620" s="233"/>
      <c r="BA620" s="233"/>
      <c r="BB620" s="233"/>
      <c r="BC620" s="233"/>
      <c r="BD620" s="233"/>
      <c r="BE620" s="233"/>
      <c r="BF620" s="233"/>
      <c r="BG620" s="233"/>
      <c r="BH620" s="233"/>
      <c r="BI620" s="233"/>
      <c r="BJ620" s="233"/>
      <c r="BK620" s="233"/>
      <c r="BL620" s="233"/>
      <c r="BM620" s="233"/>
      <c r="BN620" s="233"/>
      <c r="BO620" s="233"/>
      <c r="BP620" s="233"/>
      <c r="BQ620" s="233"/>
      <c r="BR620" s="233"/>
      <c r="BS620" s="233"/>
      <c r="BT620" s="233"/>
      <c r="BU620" s="233"/>
      <c r="BV620" s="233"/>
      <c r="BW620" s="233"/>
      <c r="BX620" s="233"/>
      <c r="BY620" s="233"/>
      <c r="BZ620" s="233"/>
      <c r="CA620" s="233"/>
    </row>
    <row r="621" spans="43:79" x14ac:dyDescent="0.25">
      <c r="AQ621" s="233"/>
      <c r="AR621" s="233"/>
      <c r="AS621" s="233"/>
      <c r="AT621" s="233"/>
      <c r="AU621" s="233"/>
      <c r="AV621" s="233"/>
      <c r="AW621" s="233"/>
      <c r="AX621" s="233"/>
      <c r="AY621" s="233"/>
      <c r="AZ621" s="233"/>
      <c r="BA621" s="233"/>
      <c r="BB621" s="233"/>
      <c r="BC621" s="233"/>
      <c r="BD621" s="233"/>
      <c r="BE621" s="233"/>
      <c r="BF621" s="233"/>
      <c r="BG621" s="233"/>
      <c r="BH621" s="233"/>
      <c r="BI621" s="233"/>
      <c r="BJ621" s="233"/>
      <c r="BK621" s="233"/>
      <c r="BL621" s="233"/>
      <c r="BM621" s="233"/>
      <c r="BN621" s="233"/>
      <c r="BO621" s="233"/>
      <c r="BP621" s="233"/>
      <c r="BQ621" s="233"/>
      <c r="BR621" s="233"/>
      <c r="BS621" s="233"/>
      <c r="BT621" s="233"/>
      <c r="BU621" s="233"/>
      <c r="BV621" s="233"/>
      <c r="BW621" s="233"/>
      <c r="BX621" s="233"/>
      <c r="BY621" s="233"/>
      <c r="BZ621" s="233"/>
      <c r="CA621" s="233"/>
    </row>
    <row r="622" spans="43:79" x14ac:dyDescent="0.25">
      <c r="AQ622" s="233"/>
      <c r="AR622" s="233"/>
      <c r="AS622" s="233"/>
      <c r="AT622" s="233"/>
      <c r="AU622" s="233"/>
      <c r="AV622" s="233"/>
      <c r="AW622" s="233"/>
      <c r="AX622" s="233"/>
      <c r="AY622" s="233"/>
      <c r="AZ622" s="233"/>
      <c r="BA622" s="233"/>
      <c r="BB622" s="233"/>
      <c r="BC622" s="233"/>
      <c r="BD622" s="233"/>
      <c r="BE622" s="233"/>
      <c r="BF622" s="233"/>
      <c r="BG622" s="233"/>
      <c r="BH622" s="233"/>
      <c r="BI622" s="233"/>
      <c r="BJ622" s="233"/>
      <c r="BK622" s="233"/>
      <c r="BL622" s="233"/>
      <c r="BM622" s="233"/>
      <c r="BN622" s="233"/>
      <c r="BO622" s="233"/>
      <c r="BP622" s="233"/>
      <c r="BQ622" s="233"/>
      <c r="BR622" s="233"/>
      <c r="BS622" s="233"/>
      <c r="BT622" s="233"/>
      <c r="BU622" s="233"/>
      <c r="BV622" s="233"/>
      <c r="BW622" s="233"/>
      <c r="BX622" s="233"/>
      <c r="BY622" s="233"/>
      <c r="BZ622" s="233"/>
      <c r="CA622" s="233"/>
    </row>
    <row r="623" spans="43:79" x14ac:dyDescent="0.25">
      <c r="AQ623" s="233"/>
      <c r="AR623" s="233"/>
      <c r="AS623" s="233"/>
      <c r="AT623" s="233"/>
      <c r="AU623" s="233"/>
      <c r="AV623" s="233"/>
      <c r="AW623" s="233"/>
      <c r="AX623" s="233"/>
      <c r="AY623" s="233"/>
      <c r="AZ623" s="233"/>
      <c r="BA623" s="233"/>
      <c r="BB623" s="233"/>
      <c r="BC623" s="233"/>
      <c r="BD623" s="233"/>
      <c r="BE623" s="233"/>
      <c r="BF623" s="233"/>
      <c r="BG623" s="233"/>
      <c r="BH623" s="233"/>
      <c r="BI623" s="233"/>
      <c r="BJ623" s="233"/>
      <c r="BK623" s="233"/>
      <c r="BL623" s="233"/>
      <c r="BM623" s="233"/>
      <c r="BN623" s="233"/>
      <c r="BO623" s="233"/>
      <c r="BP623" s="233"/>
      <c r="BQ623" s="233"/>
      <c r="BR623" s="233"/>
      <c r="BS623" s="233"/>
      <c r="BT623" s="233"/>
      <c r="BU623" s="233"/>
      <c r="BV623" s="233"/>
      <c r="BW623" s="233"/>
      <c r="BX623" s="233"/>
      <c r="BY623" s="233"/>
      <c r="BZ623" s="233"/>
      <c r="CA623" s="233"/>
    </row>
    <row r="624" spans="43:79" x14ac:dyDescent="0.25">
      <c r="AQ624" s="233"/>
      <c r="AR624" s="233"/>
      <c r="AS624" s="233"/>
      <c r="AT624" s="233"/>
      <c r="AU624" s="233"/>
      <c r="AV624" s="233"/>
      <c r="AW624" s="233"/>
      <c r="AX624" s="233"/>
      <c r="AY624" s="233"/>
      <c r="AZ624" s="233"/>
      <c r="BA624" s="233"/>
      <c r="BB624" s="233"/>
      <c r="BC624" s="233"/>
      <c r="BD624" s="233"/>
      <c r="BE624" s="233"/>
      <c r="BF624" s="233"/>
      <c r="BG624" s="233"/>
      <c r="BH624" s="233"/>
      <c r="BI624" s="233"/>
      <c r="BJ624" s="233"/>
      <c r="BK624" s="233"/>
      <c r="BL624" s="233"/>
      <c r="BM624" s="233"/>
      <c r="BN624" s="233"/>
      <c r="BO624" s="233"/>
      <c r="BP624" s="233"/>
      <c r="BQ624" s="233"/>
      <c r="BR624" s="233"/>
      <c r="BS624" s="233"/>
      <c r="BT624" s="233"/>
      <c r="BU624" s="233"/>
      <c r="BV624" s="233"/>
      <c r="BW624" s="233"/>
      <c r="BX624" s="233"/>
      <c r="BY624" s="233"/>
      <c r="BZ624" s="233"/>
      <c r="CA624" s="233"/>
    </row>
    <row r="625" spans="43:79" x14ac:dyDescent="0.25">
      <c r="AQ625" s="233"/>
      <c r="AR625" s="233"/>
      <c r="AS625" s="233"/>
      <c r="AT625" s="233"/>
      <c r="AU625" s="233"/>
      <c r="AV625" s="233"/>
      <c r="AW625" s="233"/>
      <c r="AX625" s="233"/>
      <c r="AY625" s="233"/>
      <c r="AZ625" s="233"/>
      <c r="BA625" s="233"/>
      <c r="BB625" s="233"/>
      <c r="BC625" s="233"/>
      <c r="BD625" s="233"/>
      <c r="BE625" s="233"/>
      <c r="BF625" s="233"/>
      <c r="BG625" s="233"/>
      <c r="BH625" s="233"/>
      <c r="BI625" s="233"/>
      <c r="BJ625" s="233"/>
      <c r="BK625" s="233"/>
      <c r="BL625" s="233"/>
      <c r="BM625" s="233"/>
      <c r="BN625" s="233"/>
      <c r="BO625" s="233"/>
      <c r="BP625" s="233"/>
      <c r="BQ625" s="233"/>
      <c r="BR625" s="233"/>
      <c r="BS625" s="233"/>
      <c r="BT625" s="233"/>
      <c r="BU625" s="233"/>
      <c r="BV625" s="233"/>
      <c r="BW625" s="233"/>
      <c r="BX625" s="233"/>
      <c r="BY625" s="233"/>
      <c r="BZ625" s="233"/>
      <c r="CA625" s="233"/>
    </row>
    <row r="626" spans="43:79" x14ac:dyDescent="0.25">
      <c r="AQ626" s="233"/>
      <c r="AR626" s="233"/>
      <c r="AS626" s="233"/>
      <c r="AT626" s="233"/>
      <c r="AU626" s="233"/>
      <c r="AV626" s="233"/>
      <c r="AW626" s="233"/>
      <c r="AX626" s="233"/>
      <c r="AY626" s="233"/>
      <c r="AZ626" s="233"/>
      <c r="BA626" s="233"/>
      <c r="BB626" s="233"/>
      <c r="BC626" s="233"/>
      <c r="BD626" s="233"/>
      <c r="BE626" s="233"/>
      <c r="BF626" s="233"/>
      <c r="BG626" s="233"/>
      <c r="BH626" s="233"/>
      <c r="BI626" s="233"/>
      <c r="BJ626" s="233"/>
      <c r="BK626" s="233"/>
      <c r="BL626" s="233"/>
      <c r="BM626" s="233"/>
      <c r="BN626" s="233"/>
      <c r="BO626" s="233"/>
      <c r="BP626" s="233"/>
      <c r="BQ626" s="233"/>
      <c r="BR626" s="233"/>
      <c r="BS626" s="233"/>
      <c r="BT626" s="233"/>
      <c r="BU626" s="233"/>
      <c r="BV626" s="233"/>
      <c r="BW626" s="233"/>
      <c r="BX626" s="233"/>
      <c r="BY626" s="233"/>
      <c r="BZ626" s="233"/>
      <c r="CA626" s="233"/>
    </row>
    <row r="627" spans="43:79" x14ac:dyDescent="0.25">
      <c r="AQ627" s="233"/>
      <c r="AR627" s="233"/>
      <c r="AS627" s="233"/>
      <c r="AT627" s="233"/>
      <c r="AU627" s="233"/>
      <c r="AV627" s="233"/>
      <c r="AW627" s="233"/>
      <c r="AX627" s="233"/>
      <c r="AY627" s="233"/>
      <c r="AZ627" s="233"/>
      <c r="BA627" s="233"/>
      <c r="BB627" s="233"/>
      <c r="BC627" s="233"/>
      <c r="BD627" s="233"/>
      <c r="BE627" s="233"/>
      <c r="BF627" s="233"/>
      <c r="BG627" s="233"/>
      <c r="BH627" s="233"/>
      <c r="BI627" s="233"/>
      <c r="BJ627" s="233"/>
      <c r="BK627" s="233"/>
      <c r="BL627" s="233"/>
      <c r="BM627" s="233"/>
      <c r="BN627" s="233"/>
      <c r="BO627" s="233"/>
      <c r="BP627" s="233"/>
      <c r="BQ627" s="233"/>
      <c r="BR627" s="233"/>
      <c r="BS627" s="233"/>
      <c r="BT627" s="233"/>
      <c r="BU627" s="233"/>
      <c r="BV627" s="233"/>
      <c r="BW627" s="233"/>
      <c r="BX627" s="233"/>
      <c r="BY627" s="233"/>
      <c r="BZ627" s="233"/>
      <c r="CA627" s="233"/>
    </row>
    <row r="628" spans="43:79" x14ac:dyDescent="0.25">
      <c r="AQ628" s="233"/>
      <c r="AR628" s="233"/>
      <c r="AS628" s="233"/>
      <c r="AT628" s="233"/>
      <c r="AU628" s="233"/>
      <c r="AV628" s="233"/>
      <c r="AW628" s="233"/>
      <c r="AX628" s="233"/>
      <c r="AY628" s="233"/>
      <c r="AZ628" s="233"/>
      <c r="BA628" s="233"/>
      <c r="BB628" s="233"/>
      <c r="BC628" s="233"/>
      <c r="BD628" s="233"/>
      <c r="BE628" s="233"/>
      <c r="BF628" s="233"/>
      <c r="BG628" s="233"/>
      <c r="BH628" s="233"/>
      <c r="BI628" s="233"/>
      <c r="BJ628" s="233"/>
      <c r="BK628" s="233"/>
      <c r="BL628" s="233"/>
      <c r="BM628" s="233"/>
      <c r="BN628" s="233"/>
      <c r="BO628" s="233"/>
      <c r="BP628" s="233"/>
      <c r="BQ628" s="233"/>
      <c r="BR628" s="233"/>
      <c r="BS628" s="233"/>
      <c r="BT628" s="233"/>
      <c r="BU628" s="233"/>
      <c r="BV628" s="233"/>
      <c r="BW628" s="233"/>
      <c r="BX628" s="233"/>
      <c r="BY628" s="233"/>
      <c r="BZ628" s="233"/>
      <c r="CA628" s="233"/>
    </row>
    <row r="629" spans="43:79" x14ac:dyDescent="0.25">
      <c r="AQ629" s="233"/>
      <c r="AR629" s="233"/>
      <c r="AS629" s="233"/>
      <c r="AT629" s="233"/>
      <c r="AU629" s="233"/>
      <c r="AV629" s="233"/>
      <c r="AW629" s="233"/>
      <c r="AX629" s="233"/>
      <c r="AY629" s="233"/>
      <c r="AZ629" s="233"/>
      <c r="BA629" s="233"/>
      <c r="BB629" s="233"/>
      <c r="BC629" s="233"/>
      <c r="BD629" s="233"/>
      <c r="BE629" s="233"/>
      <c r="BF629" s="233"/>
      <c r="BG629" s="233"/>
      <c r="BH629" s="233"/>
      <c r="BI629" s="233"/>
      <c r="BJ629" s="233"/>
      <c r="BK629" s="233"/>
      <c r="BL629" s="233"/>
      <c r="BM629" s="233"/>
      <c r="BN629" s="233"/>
      <c r="BO629" s="233"/>
      <c r="BP629" s="233"/>
      <c r="BQ629" s="233"/>
      <c r="BR629" s="233"/>
      <c r="BS629" s="233"/>
      <c r="BT629" s="233"/>
      <c r="BU629" s="233"/>
      <c r="BV629" s="233"/>
      <c r="BW629" s="233"/>
      <c r="BX629" s="233"/>
      <c r="BY629" s="233"/>
      <c r="BZ629" s="233"/>
      <c r="CA629" s="233"/>
    </row>
    <row r="630" spans="43:79" x14ac:dyDescent="0.25">
      <c r="AQ630" s="233"/>
      <c r="AR630" s="233"/>
      <c r="AS630" s="233"/>
      <c r="AT630" s="233"/>
      <c r="AU630" s="233"/>
      <c r="AV630" s="233"/>
      <c r="AW630" s="233"/>
      <c r="AX630" s="233"/>
      <c r="AY630" s="233"/>
      <c r="AZ630" s="233"/>
      <c r="BA630" s="233"/>
      <c r="BB630" s="233"/>
      <c r="BC630" s="233"/>
      <c r="BD630" s="233"/>
      <c r="BE630" s="233"/>
      <c r="BF630" s="233"/>
      <c r="BG630" s="233"/>
      <c r="BH630" s="233"/>
      <c r="BI630" s="233"/>
      <c r="BJ630" s="233"/>
      <c r="BK630" s="233"/>
      <c r="BL630" s="233"/>
      <c r="BM630" s="233"/>
      <c r="BN630" s="233"/>
      <c r="BO630" s="233"/>
      <c r="BP630" s="233"/>
      <c r="BQ630" s="233"/>
      <c r="BR630" s="233"/>
      <c r="BS630" s="233"/>
      <c r="BT630" s="233"/>
      <c r="BU630" s="233"/>
      <c r="BV630" s="233"/>
      <c r="BW630" s="233"/>
      <c r="BX630" s="233"/>
      <c r="BY630" s="233"/>
      <c r="BZ630" s="233"/>
      <c r="CA630" s="233"/>
    </row>
    <row r="631" spans="43:79" x14ac:dyDescent="0.25">
      <c r="AQ631" s="233"/>
      <c r="AR631" s="233"/>
      <c r="AS631" s="233"/>
      <c r="AT631" s="233"/>
      <c r="AU631" s="233"/>
      <c r="AV631" s="233"/>
      <c r="AW631" s="233"/>
      <c r="AX631" s="233"/>
      <c r="AY631" s="233"/>
      <c r="AZ631" s="233"/>
      <c r="BA631" s="233"/>
      <c r="BB631" s="233"/>
      <c r="BC631" s="233"/>
      <c r="BD631" s="233"/>
      <c r="BE631" s="233"/>
      <c r="BF631" s="233"/>
      <c r="BG631" s="233"/>
      <c r="BH631" s="233"/>
      <c r="BI631" s="233"/>
      <c r="BJ631" s="233"/>
      <c r="BK631" s="233"/>
      <c r="BL631" s="233"/>
      <c r="BM631" s="233"/>
      <c r="BN631" s="233"/>
      <c r="BO631" s="233"/>
      <c r="BP631" s="233"/>
      <c r="BQ631" s="233"/>
      <c r="BR631" s="233"/>
      <c r="BS631" s="233"/>
      <c r="BT631" s="233"/>
      <c r="BU631" s="233"/>
      <c r="BV631" s="233"/>
      <c r="BW631" s="233"/>
      <c r="BX631" s="233"/>
      <c r="BY631" s="233"/>
      <c r="BZ631" s="233"/>
      <c r="CA631" s="233"/>
    </row>
    <row r="632" spans="43:79" x14ac:dyDescent="0.25">
      <c r="AQ632" s="233"/>
      <c r="AR632" s="233"/>
      <c r="AS632" s="233"/>
      <c r="AT632" s="233"/>
      <c r="AU632" s="233"/>
      <c r="AV632" s="233"/>
      <c r="AW632" s="233"/>
      <c r="AX632" s="233"/>
      <c r="AY632" s="233"/>
      <c r="AZ632" s="233"/>
      <c r="BA632" s="233"/>
      <c r="BB632" s="233"/>
      <c r="BC632" s="233"/>
      <c r="BD632" s="233"/>
      <c r="BE632" s="233"/>
      <c r="BF632" s="233"/>
      <c r="BG632" s="233"/>
      <c r="BH632" s="233"/>
      <c r="BI632" s="233"/>
      <c r="BJ632" s="233"/>
      <c r="BK632" s="233"/>
      <c r="BL632" s="233"/>
      <c r="BM632" s="233"/>
      <c r="BN632" s="233"/>
      <c r="BO632" s="233"/>
      <c r="BP632" s="233"/>
      <c r="BQ632" s="233"/>
      <c r="BR632" s="233"/>
      <c r="BS632" s="233"/>
      <c r="BT632" s="233"/>
      <c r="BU632" s="233"/>
      <c r="BV632" s="233"/>
      <c r="BW632" s="233"/>
      <c r="BX632" s="233"/>
      <c r="BY632" s="233"/>
      <c r="BZ632" s="233"/>
      <c r="CA632" s="233"/>
    </row>
    <row r="633" spans="43:79" x14ac:dyDescent="0.25">
      <c r="AQ633" s="233"/>
      <c r="AR633" s="233"/>
      <c r="AS633" s="233"/>
      <c r="AT633" s="233"/>
      <c r="AU633" s="233"/>
      <c r="AV633" s="233"/>
      <c r="AW633" s="233"/>
      <c r="AX633" s="233"/>
      <c r="AY633" s="233"/>
      <c r="AZ633" s="233"/>
      <c r="BA633" s="233"/>
      <c r="BB633" s="233"/>
      <c r="BC633" s="233"/>
      <c r="BD633" s="233"/>
      <c r="BE633" s="233"/>
      <c r="BF633" s="233"/>
      <c r="BG633" s="233"/>
      <c r="BH633" s="233"/>
      <c r="BI633" s="233"/>
      <c r="BJ633" s="233"/>
      <c r="BK633" s="233"/>
      <c r="BL633" s="233"/>
      <c r="BM633" s="233"/>
      <c r="BN633" s="233"/>
      <c r="BO633" s="233"/>
      <c r="BP633" s="233"/>
      <c r="BQ633" s="233"/>
      <c r="BR633" s="233"/>
      <c r="BS633" s="233"/>
      <c r="BT633" s="233"/>
      <c r="BU633" s="233"/>
      <c r="BV633" s="233"/>
      <c r="BW633" s="233"/>
      <c r="BX633" s="233"/>
      <c r="BY633" s="233"/>
      <c r="BZ633" s="233"/>
      <c r="CA633" s="233"/>
    </row>
    <row r="634" spans="43:79" x14ac:dyDescent="0.25">
      <c r="AQ634" s="233"/>
      <c r="AR634" s="233"/>
      <c r="AS634" s="233"/>
      <c r="AT634" s="233"/>
      <c r="AU634" s="233"/>
      <c r="AV634" s="233"/>
      <c r="AW634" s="233"/>
      <c r="AX634" s="233"/>
      <c r="AY634" s="233"/>
      <c r="AZ634" s="233"/>
      <c r="BA634" s="233"/>
      <c r="BB634" s="233"/>
      <c r="BC634" s="233"/>
      <c r="BD634" s="233"/>
      <c r="BE634" s="233"/>
      <c r="BF634" s="233"/>
      <c r="BG634" s="233"/>
      <c r="BH634" s="233"/>
      <c r="BI634" s="233"/>
      <c r="BJ634" s="233"/>
      <c r="BK634" s="233"/>
      <c r="BL634" s="233"/>
      <c r="BM634" s="233"/>
      <c r="BN634" s="233"/>
      <c r="BO634" s="233"/>
      <c r="BP634" s="233"/>
      <c r="BQ634" s="233"/>
      <c r="BR634" s="233"/>
      <c r="BS634" s="233"/>
      <c r="BT634" s="233"/>
      <c r="BU634" s="233"/>
      <c r="BV634" s="233"/>
      <c r="BW634" s="233"/>
      <c r="BX634" s="233"/>
      <c r="BY634" s="233"/>
      <c r="BZ634" s="233"/>
      <c r="CA634" s="233"/>
    </row>
    <row r="635" spans="43:79" x14ac:dyDescent="0.25">
      <c r="AQ635" s="233"/>
      <c r="AR635" s="233"/>
      <c r="AS635" s="233"/>
      <c r="AT635" s="233"/>
      <c r="AU635" s="233"/>
      <c r="AV635" s="233"/>
      <c r="AW635" s="233"/>
      <c r="AX635" s="233"/>
      <c r="AY635" s="233"/>
      <c r="AZ635" s="233"/>
      <c r="BA635" s="233"/>
      <c r="BB635" s="233"/>
      <c r="BC635" s="233"/>
      <c r="BD635" s="233"/>
      <c r="BE635" s="233"/>
      <c r="BF635" s="233"/>
      <c r="BG635" s="233"/>
      <c r="BH635" s="233"/>
      <c r="BI635" s="233"/>
      <c r="BJ635" s="233"/>
      <c r="BK635" s="233"/>
      <c r="BL635" s="233"/>
      <c r="BM635" s="233"/>
      <c r="BN635" s="233"/>
      <c r="BO635" s="233"/>
      <c r="BP635" s="233"/>
      <c r="BQ635" s="233"/>
      <c r="BR635" s="233"/>
      <c r="BS635" s="233"/>
      <c r="BT635" s="233"/>
      <c r="BU635" s="233"/>
      <c r="BV635" s="233"/>
      <c r="BW635" s="233"/>
      <c r="BX635" s="233"/>
      <c r="BY635" s="233"/>
      <c r="BZ635" s="233"/>
      <c r="CA635" s="233"/>
    </row>
    <row r="636" spans="43:79" x14ac:dyDescent="0.25">
      <c r="AQ636" s="233"/>
      <c r="AR636" s="233"/>
      <c r="AS636" s="233"/>
      <c r="AT636" s="233"/>
      <c r="AU636" s="233"/>
      <c r="AV636" s="233"/>
      <c r="AW636" s="233"/>
      <c r="AX636" s="233"/>
      <c r="AY636" s="233"/>
      <c r="AZ636" s="233"/>
      <c r="BA636" s="233"/>
      <c r="BB636" s="233"/>
      <c r="BC636" s="233"/>
      <c r="BD636" s="233"/>
      <c r="BE636" s="233"/>
      <c r="BF636" s="233"/>
      <c r="BG636" s="233"/>
      <c r="BH636" s="233"/>
      <c r="BI636" s="233"/>
      <c r="BJ636" s="233"/>
      <c r="BK636" s="233"/>
      <c r="BL636" s="233"/>
      <c r="BM636" s="233"/>
      <c r="BN636" s="233"/>
      <c r="BO636" s="233"/>
      <c r="BP636" s="233"/>
      <c r="BQ636" s="233"/>
      <c r="BR636" s="233"/>
      <c r="BS636" s="233"/>
      <c r="BT636" s="233"/>
      <c r="BU636" s="233"/>
      <c r="BV636" s="233"/>
      <c r="BW636" s="233"/>
      <c r="BX636" s="233"/>
      <c r="BY636" s="233"/>
      <c r="BZ636" s="233"/>
      <c r="CA636" s="233"/>
    </row>
    <row r="637" spans="43:79" x14ac:dyDescent="0.25">
      <c r="AQ637" s="233"/>
      <c r="AR637" s="233"/>
      <c r="AS637" s="233"/>
      <c r="AT637" s="233"/>
      <c r="AU637" s="233"/>
      <c r="AV637" s="233"/>
      <c r="AW637" s="233"/>
      <c r="AX637" s="233"/>
      <c r="AY637" s="233"/>
      <c r="AZ637" s="233"/>
      <c r="BA637" s="233"/>
      <c r="BB637" s="233"/>
      <c r="BC637" s="233"/>
      <c r="BD637" s="233"/>
      <c r="BE637" s="233"/>
      <c r="BF637" s="233"/>
      <c r="BG637" s="233"/>
      <c r="BH637" s="233"/>
      <c r="BI637" s="233"/>
      <c r="BJ637" s="233"/>
      <c r="BK637" s="233"/>
      <c r="BL637" s="233"/>
      <c r="BM637" s="233"/>
      <c r="BN637" s="233"/>
      <c r="BO637" s="233"/>
      <c r="BP637" s="233"/>
      <c r="BQ637" s="233"/>
      <c r="BR637" s="233"/>
      <c r="BS637" s="233"/>
      <c r="BT637" s="233"/>
      <c r="BU637" s="233"/>
      <c r="BV637" s="233"/>
      <c r="BW637" s="233"/>
      <c r="BX637" s="233"/>
      <c r="BY637" s="233"/>
      <c r="BZ637" s="233"/>
      <c r="CA637" s="233"/>
    </row>
    <row r="638" spans="43:79" x14ac:dyDescent="0.25">
      <c r="AQ638" s="233"/>
      <c r="AR638" s="233"/>
      <c r="AS638" s="233"/>
      <c r="AT638" s="233"/>
      <c r="AU638" s="233"/>
      <c r="AV638" s="233"/>
      <c r="AW638" s="233"/>
      <c r="AX638" s="233"/>
      <c r="AY638" s="233"/>
      <c r="AZ638" s="233"/>
      <c r="BA638" s="233"/>
      <c r="BB638" s="233"/>
      <c r="BC638" s="233"/>
      <c r="BD638" s="233"/>
      <c r="BE638" s="233"/>
      <c r="BF638" s="233"/>
      <c r="BG638" s="233"/>
      <c r="BH638" s="233"/>
      <c r="BI638" s="233"/>
      <c r="BJ638" s="233"/>
      <c r="BK638" s="233"/>
      <c r="BL638" s="233"/>
      <c r="BM638" s="233"/>
      <c r="BN638" s="233"/>
      <c r="BO638" s="233"/>
      <c r="BP638" s="233"/>
      <c r="BQ638" s="233"/>
      <c r="BR638" s="233"/>
      <c r="BS638" s="233"/>
      <c r="BT638" s="233"/>
      <c r="BU638" s="233"/>
      <c r="BV638" s="233"/>
      <c r="BW638" s="233"/>
      <c r="BX638" s="233"/>
      <c r="BY638" s="233"/>
      <c r="BZ638" s="233"/>
      <c r="CA638" s="233"/>
    </row>
    <row r="639" spans="43:79" x14ac:dyDescent="0.25">
      <c r="AQ639" s="233"/>
      <c r="AR639" s="233"/>
      <c r="AS639" s="233"/>
      <c r="AT639" s="233"/>
      <c r="AU639" s="233"/>
      <c r="AV639" s="233"/>
      <c r="AW639" s="233"/>
      <c r="AX639" s="233"/>
      <c r="AY639" s="233"/>
      <c r="AZ639" s="233"/>
      <c r="BA639" s="233"/>
      <c r="BB639" s="233"/>
      <c r="BC639" s="233"/>
      <c r="BD639" s="233"/>
      <c r="BE639" s="233"/>
      <c r="BF639" s="233"/>
      <c r="BG639" s="233"/>
      <c r="BH639" s="233"/>
      <c r="BI639" s="233"/>
      <c r="BJ639" s="233"/>
      <c r="BK639" s="233"/>
      <c r="BL639" s="233"/>
      <c r="BM639" s="233"/>
      <c r="BN639" s="233"/>
      <c r="BO639" s="233"/>
      <c r="BP639" s="233"/>
      <c r="BQ639" s="233"/>
      <c r="BR639" s="233"/>
      <c r="BS639" s="233"/>
      <c r="BT639" s="233"/>
      <c r="BU639" s="233"/>
      <c r="BV639" s="233"/>
      <c r="BW639" s="233"/>
      <c r="BX639" s="233"/>
      <c r="BY639" s="233"/>
      <c r="BZ639" s="233"/>
      <c r="CA639" s="233"/>
    </row>
    <row r="640" spans="43:79" x14ac:dyDescent="0.25">
      <c r="AQ640" s="233"/>
      <c r="AR640" s="233"/>
      <c r="AS640" s="233"/>
      <c r="AT640" s="233"/>
      <c r="AU640" s="233"/>
      <c r="AV640" s="233"/>
      <c r="AW640" s="233"/>
      <c r="AX640" s="233"/>
      <c r="AY640" s="233"/>
      <c r="AZ640" s="233"/>
      <c r="BA640" s="233"/>
      <c r="BB640" s="233"/>
      <c r="BC640" s="233"/>
      <c r="BD640" s="233"/>
      <c r="BE640" s="233"/>
      <c r="BF640" s="233"/>
      <c r="BG640" s="233"/>
      <c r="BH640" s="233"/>
      <c r="BI640" s="233"/>
      <c r="BJ640" s="233"/>
      <c r="BK640" s="233"/>
      <c r="BL640" s="233"/>
      <c r="BM640" s="233"/>
      <c r="BN640" s="233"/>
      <c r="BO640" s="233"/>
      <c r="BP640" s="233"/>
      <c r="BQ640" s="233"/>
      <c r="BR640" s="233"/>
      <c r="BS640" s="233"/>
      <c r="BT640" s="233"/>
      <c r="BU640" s="233"/>
      <c r="BV640" s="233"/>
      <c r="BW640" s="233"/>
      <c r="BX640" s="233"/>
      <c r="BY640" s="233"/>
      <c r="BZ640" s="233"/>
      <c r="CA640" s="233"/>
    </row>
    <row r="641" spans="43:79" x14ac:dyDescent="0.25">
      <c r="AQ641" s="233"/>
      <c r="AR641" s="233"/>
      <c r="AS641" s="233"/>
      <c r="AT641" s="233"/>
      <c r="AU641" s="233"/>
      <c r="AV641" s="233"/>
      <c r="AW641" s="233"/>
      <c r="AX641" s="233"/>
      <c r="AY641" s="233"/>
      <c r="AZ641" s="233"/>
      <c r="BA641" s="233"/>
      <c r="BB641" s="233"/>
      <c r="BC641" s="233"/>
      <c r="BD641" s="233"/>
      <c r="BE641" s="233"/>
      <c r="BF641" s="233"/>
      <c r="BG641" s="233"/>
      <c r="BH641" s="233"/>
      <c r="BI641" s="233"/>
      <c r="BJ641" s="233"/>
      <c r="BK641" s="233"/>
      <c r="BL641" s="233"/>
      <c r="BM641" s="233"/>
      <c r="BN641" s="233"/>
      <c r="BO641" s="233"/>
      <c r="BP641" s="233"/>
      <c r="BQ641" s="233"/>
      <c r="BR641" s="233"/>
      <c r="BS641" s="233"/>
      <c r="BT641" s="233"/>
      <c r="BU641" s="233"/>
      <c r="BV641" s="233"/>
      <c r="BW641" s="233"/>
      <c r="BX641" s="233"/>
      <c r="BY641" s="233"/>
      <c r="BZ641" s="233"/>
      <c r="CA641" s="233"/>
    </row>
    <row r="642" spans="43:79" x14ac:dyDescent="0.25">
      <c r="AQ642" s="233"/>
      <c r="AR642" s="233"/>
      <c r="AS642" s="233"/>
      <c r="AT642" s="233"/>
      <c r="AU642" s="233"/>
      <c r="AV642" s="233"/>
      <c r="AW642" s="233"/>
      <c r="AX642" s="233"/>
      <c r="AY642" s="233"/>
      <c r="AZ642" s="233"/>
      <c r="BA642" s="233"/>
      <c r="BB642" s="233"/>
      <c r="BC642" s="233"/>
      <c r="BD642" s="233"/>
      <c r="BE642" s="233"/>
      <c r="BF642" s="233"/>
      <c r="BG642" s="233"/>
      <c r="BH642" s="233"/>
      <c r="BI642" s="233"/>
      <c r="BJ642" s="233"/>
      <c r="BK642" s="233"/>
      <c r="BL642" s="233"/>
      <c r="BM642" s="233"/>
      <c r="BN642" s="233"/>
      <c r="BO642" s="233"/>
      <c r="BP642" s="233"/>
      <c r="BQ642" s="233"/>
      <c r="BR642" s="233"/>
      <c r="BS642" s="233"/>
      <c r="BT642" s="233"/>
      <c r="BU642" s="233"/>
      <c r="BV642" s="233"/>
      <c r="BW642" s="233"/>
      <c r="BX642" s="233"/>
      <c r="BY642" s="233"/>
      <c r="BZ642" s="233"/>
      <c r="CA642" s="233"/>
    </row>
    <row r="643" spans="43:79" x14ac:dyDescent="0.25">
      <c r="AQ643" s="233"/>
      <c r="AR643" s="233"/>
      <c r="AS643" s="233"/>
      <c r="AT643" s="233"/>
      <c r="AU643" s="233"/>
      <c r="AV643" s="233"/>
      <c r="AW643" s="233"/>
      <c r="AX643" s="233"/>
      <c r="AY643" s="233"/>
      <c r="AZ643" s="233"/>
      <c r="BA643" s="233"/>
      <c r="BB643" s="233"/>
      <c r="BC643" s="233"/>
      <c r="BD643" s="233"/>
      <c r="BE643" s="233"/>
      <c r="BF643" s="233"/>
      <c r="BG643" s="233"/>
      <c r="BH643" s="233"/>
      <c r="BI643" s="233"/>
      <c r="BJ643" s="233"/>
      <c r="BK643" s="233"/>
      <c r="BL643" s="233"/>
      <c r="BM643" s="233"/>
      <c r="BN643" s="233"/>
      <c r="BO643" s="233"/>
      <c r="BP643" s="233"/>
      <c r="BQ643" s="233"/>
      <c r="BR643" s="233"/>
      <c r="BS643" s="233"/>
      <c r="BT643" s="233"/>
      <c r="BU643" s="233"/>
      <c r="BV643" s="233"/>
      <c r="BW643" s="233"/>
      <c r="BX643" s="233"/>
      <c r="BY643" s="233"/>
      <c r="BZ643" s="233"/>
      <c r="CA643" s="233"/>
    </row>
    <row r="644" spans="43:79" x14ac:dyDescent="0.25">
      <c r="AQ644" s="233"/>
      <c r="AR644" s="233"/>
      <c r="AS644" s="233"/>
      <c r="AT644" s="233"/>
      <c r="AU644" s="233"/>
      <c r="AV644" s="233"/>
      <c r="AW644" s="233"/>
      <c r="AX644" s="233"/>
      <c r="AY644" s="233"/>
      <c r="AZ644" s="233"/>
      <c r="BA644" s="233"/>
      <c r="BB644" s="233"/>
      <c r="BC644" s="233"/>
      <c r="BD644" s="233"/>
      <c r="BE644" s="233"/>
      <c r="BF644" s="233"/>
      <c r="BG644" s="233"/>
      <c r="BH644" s="233"/>
      <c r="BI644" s="233"/>
      <c r="BJ644" s="233"/>
      <c r="BK644" s="233"/>
      <c r="BL644" s="233"/>
      <c r="BM644" s="233"/>
      <c r="BN644" s="233"/>
      <c r="BO644" s="233"/>
      <c r="BP644" s="233"/>
      <c r="BQ644" s="233"/>
      <c r="BR644" s="233"/>
      <c r="BS644" s="233"/>
      <c r="BT644" s="233"/>
      <c r="BU644" s="233"/>
      <c r="BV644" s="233"/>
      <c r="BW644" s="233"/>
      <c r="BX644" s="233"/>
      <c r="BY644" s="233"/>
      <c r="BZ644" s="233"/>
      <c r="CA644" s="233"/>
    </row>
    <row r="645" spans="43:79" x14ac:dyDescent="0.25">
      <c r="AQ645" s="233"/>
      <c r="AR645" s="233"/>
      <c r="AS645" s="233"/>
      <c r="AT645" s="233"/>
      <c r="AU645" s="233"/>
      <c r="AV645" s="233"/>
      <c r="AW645" s="233"/>
      <c r="AX645" s="233"/>
      <c r="AY645" s="233"/>
      <c r="AZ645" s="233"/>
      <c r="BA645" s="233"/>
      <c r="BB645" s="233"/>
      <c r="BC645" s="233"/>
      <c r="BD645" s="233"/>
      <c r="BE645" s="233"/>
      <c r="BF645" s="233"/>
      <c r="BG645" s="233"/>
      <c r="BH645" s="233"/>
      <c r="BI645" s="233"/>
      <c r="BJ645" s="233"/>
      <c r="BK645" s="233"/>
      <c r="BL645" s="233"/>
      <c r="BM645" s="233"/>
      <c r="BN645" s="233"/>
      <c r="BO645" s="233"/>
      <c r="BP645" s="233"/>
      <c r="BQ645" s="233"/>
      <c r="BR645" s="233"/>
      <c r="BS645" s="233"/>
      <c r="BT645" s="233"/>
      <c r="BU645" s="233"/>
      <c r="BV645" s="233"/>
      <c r="BW645" s="233"/>
      <c r="BX645" s="233"/>
      <c r="BY645" s="233"/>
      <c r="BZ645" s="233"/>
      <c r="CA645" s="233"/>
    </row>
    <row r="646" spans="43:79" x14ac:dyDescent="0.25">
      <c r="AQ646" s="233"/>
      <c r="AR646" s="233"/>
      <c r="AS646" s="233"/>
      <c r="AT646" s="233"/>
      <c r="AU646" s="233"/>
      <c r="AV646" s="233"/>
      <c r="AW646" s="233"/>
      <c r="AX646" s="233"/>
      <c r="AY646" s="233"/>
      <c r="AZ646" s="233"/>
      <c r="BA646" s="233"/>
      <c r="BB646" s="233"/>
      <c r="BC646" s="233"/>
      <c r="BD646" s="233"/>
      <c r="BE646" s="233"/>
      <c r="BF646" s="233"/>
      <c r="BG646" s="233"/>
      <c r="BH646" s="233"/>
      <c r="BI646" s="233"/>
      <c r="BJ646" s="233"/>
      <c r="BK646" s="233"/>
      <c r="BL646" s="233"/>
      <c r="BM646" s="233"/>
      <c r="BN646" s="233"/>
      <c r="BO646" s="233"/>
      <c r="BP646" s="233"/>
      <c r="BQ646" s="233"/>
      <c r="BR646" s="233"/>
      <c r="BS646" s="233"/>
      <c r="BT646" s="233"/>
      <c r="BU646" s="233"/>
      <c r="BV646" s="233"/>
      <c r="BW646" s="233"/>
      <c r="BX646" s="233"/>
      <c r="BY646" s="233"/>
      <c r="BZ646" s="233"/>
      <c r="CA646" s="233"/>
    </row>
    <row r="647" spans="43:79" x14ac:dyDescent="0.25">
      <c r="AQ647" s="233"/>
      <c r="AR647" s="233"/>
      <c r="AS647" s="233"/>
      <c r="AT647" s="233"/>
      <c r="AU647" s="233"/>
      <c r="AV647" s="233"/>
      <c r="AW647" s="233"/>
      <c r="AX647" s="233"/>
      <c r="AY647" s="233"/>
      <c r="AZ647" s="233"/>
      <c r="BA647" s="233"/>
      <c r="BB647" s="233"/>
      <c r="BC647" s="233"/>
      <c r="BD647" s="233"/>
      <c r="BE647" s="233"/>
      <c r="BF647" s="233"/>
      <c r="BG647" s="233"/>
      <c r="BH647" s="233"/>
      <c r="BI647" s="233"/>
      <c r="BJ647" s="233"/>
      <c r="BK647" s="233"/>
      <c r="BL647" s="233"/>
      <c r="BM647" s="233"/>
      <c r="BN647" s="233"/>
      <c r="BO647" s="233"/>
      <c r="BP647" s="233"/>
      <c r="BQ647" s="233"/>
      <c r="BR647" s="233"/>
      <c r="BS647" s="233"/>
      <c r="BT647" s="233"/>
      <c r="BU647" s="233"/>
      <c r="BV647" s="233"/>
      <c r="BW647" s="233"/>
      <c r="BX647" s="233"/>
      <c r="BY647" s="233"/>
      <c r="BZ647" s="233"/>
      <c r="CA647" s="233"/>
    </row>
    <row r="648" spans="43:79" x14ac:dyDescent="0.25">
      <c r="AQ648" s="233"/>
      <c r="AR648" s="233"/>
      <c r="AS648" s="233"/>
      <c r="AT648" s="233"/>
      <c r="AU648" s="233"/>
      <c r="AV648" s="233"/>
      <c r="AW648" s="233"/>
      <c r="AX648" s="233"/>
      <c r="AY648" s="233"/>
      <c r="AZ648" s="233"/>
      <c r="BA648" s="233"/>
      <c r="BB648" s="233"/>
      <c r="BC648" s="233"/>
      <c r="BD648" s="233"/>
      <c r="BE648" s="233"/>
      <c r="BF648" s="233"/>
      <c r="BG648" s="233"/>
      <c r="BH648" s="233"/>
      <c r="BI648" s="233"/>
      <c r="BJ648" s="233"/>
      <c r="BK648" s="233"/>
      <c r="BL648" s="233"/>
      <c r="BM648" s="233"/>
      <c r="BN648" s="233"/>
      <c r="BO648" s="233"/>
      <c r="BP648" s="233"/>
      <c r="BQ648" s="233"/>
      <c r="BR648" s="233"/>
      <c r="BS648" s="233"/>
      <c r="BT648" s="233"/>
      <c r="BU648" s="233"/>
      <c r="BV648" s="233"/>
      <c r="BW648" s="233"/>
      <c r="BX648" s="233"/>
      <c r="BY648" s="233"/>
      <c r="BZ648" s="233"/>
      <c r="CA648" s="233"/>
    </row>
    <row r="649" spans="43:79" x14ac:dyDescent="0.25">
      <c r="AQ649" s="233"/>
      <c r="AR649" s="233"/>
      <c r="AS649" s="233"/>
      <c r="AT649" s="233"/>
      <c r="AU649" s="233"/>
      <c r="AV649" s="233"/>
      <c r="AW649" s="233"/>
      <c r="AX649" s="233"/>
      <c r="AY649" s="233"/>
      <c r="AZ649" s="233"/>
      <c r="BA649" s="233"/>
      <c r="BB649" s="233"/>
      <c r="BC649" s="233"/>
      <c r="BD649" s="233"/>
      <c r="BE649" s="233"/>
      <c r="BF649" s="233"/>
      <c r="BG649" s="233"/>
      <c r="BH649" s="233"/>
      <c r="BI649" s="233"/>
      <c r="BJ649" s="233"/>
      <c r="BK649" s="233"/>
      <c r="BL649" s="233"/>
      <c r="BM649" s="233"/>
      <c r="BN649" s="233"/>
      <c r="BO649" s="233"/>
      <c r="BP649" s="233"/>
      <c r="BQ649" s="233"/>
      <c r="BR649" s="233"/>
      <c r="BS649" s="233"/>
      <c r="BT649" s="233"/>
      <c r="BU649" s="233"/>
      <c r="BV649" s="233"/>
      <c r="BW649" s="233"/>
      <c r="BX649" s="233"/>
      <c r="BY649" s="233"/>
      <c r="BZ649" s="233"/>
      <c r="CA649" s="233"/>
    </row>
    <row r="650" spans="43:79" x14ac:dyDescent="0.25">
      <c r="AQ650" s="233"/>
      <c r="AR650" s="233"/>
      <c r="AS650" s="233"/>
      <c r="AT650" s="233"/>
      <c r="AU650" s="233"/>
      <c r="AV650" s="233"/>
      <c r="AW650" s="233"/>
      <c r="AX650" s="233"/>
      <c r="AY650" s="233"/>
      <c r="AZ650" s="233"/>
      <c r="BA650" s="233"/>
      <c r="BB650" s="233"/>
      <c r="BC650" s="233"/>
      <c r="BD650" s="233"/>
      <c r="BE650" s="233"/>
      <c r="BF650" s="233"/>
      <c r="BG650" s="233"/>
      <c r="BH650" s="233"/>
      <c r="BI650" s="233"/>
      <c r="BJ650" s="233"/>
      <c r="BK650" s="233"/>
      <c r="BL650" s="233"/>
      <c r="BM650" s="233"/>
      <c r="BN650" s="233"/>
      <c r="BO650" s="233"/>
      <c r="BP650" s="233"/>
      <c r="BQ650" s="233"/>
      <c r="BR650" s="233"/>
      <c r="BS650" s="233"/>
      <c r="BT650" s="233"/>
      <c r="BU650" s="233"/>
      <c r="BV650" s="233"/>
      <c r="BW650" s="233"/>
      <c r="BX650" s="233"/>
      <c r="BY650" s="233"/>
      <c r="BZ650" s="233"/>
      <c r="CA650" s="233"/>
    </row>
    <row r="651" spans="43:79" x14ac:dyDescent="0.25">
      <c r="AQ651" s="233"/>
      <c r="AR651" s="233"/>
      <c r="AS651" s="233"/>
      <c r="AT651" s="233"/>
      <c r="AU651" s="233"/>
      <c r="AV651" s="233"/>
      <c r="AW651" s="233"/>
      <c r="AX651" s="233"/>
      <c r="AY651" s="233"/>
      <c r="AZ651" s="233"/>
      <c r="BA651" s="233"/>
      <c r="BB651" s="233"/>
      <c r="BC651" s="233"/>
      <c r="BD651" s="233"/>
      <c r="BE651" s="233"/>
      <c r="BF651" s="233"/>
      <c r="BG651" s="233"/>
      <c r="BH651" s="233"/>
      <c r="BI651" s="233"/>
      <c r="BJ651" s="233"/>
      <c r="BK651" s="233"/>
      <c r="BL651" s="233"/>
      <c r="BM651" s="233"/>
      <c r="BN651" s="233"/>
      <c r="BO651" s="233"/>
      <c r="BP651" s="233"/>
      <c r="BQ651" s="233"/>
      <c r="BR651" s="233"/>
      <c r="BS651" s="233"/>
      <c r="BT651" s="233"/>
      <c r="BU651" s="233"/>
      <c r="BV651" s="233"/>
      <c r="BW651" s="233"/>
      <c r="BX651" s="233"/>
      <c r="BY651" s="233"/>
      <c r="BZ651" s="233"/>
      <c r="CA651" s="233"/>
    </row>
    <row r="652" spans="43:79" x14ac:dyDescent="0.25">
      <c r="AQ652" s="233"/>
      <c r="AR652" s="233"/>
      <c r="AS652" s="233"/>
      <c r="AT652" s="233"/>
      <c r="AU652" s="233"/>
      <c r="AV652" s="233"/>
      <c r="AW652" s="233"/>
      <c r="AX652" s="233"/>
      <c r="AY652" s="233"/>
      <c r="AZ652" s="233"/>
      <c r="BA652" s="233"/>
      <c r="BB652" s="233"/>
      <c r="BC652" s="233"/>
      <c r="BD652" s="233"/>
      <c r="BE652" s="233"/>
      <c r="BF652" s="233"/>
      <c r="BG652" s="233"/>
      <c r="BH652" s="233"/>
      <c r="BI652" s="233"/>
      <c r="BJ652" s="233"/>
      <c r="BK652" s="233"/>
      <c r="BL652" s="233"/>
      <c r="BM652" s="233"/>
      <c r="BN652" s="233"/>
      <c r="BO652" s="233"/>
      <c r="BP652" s="233"/>
      <c r="BQ652" s="233"/>
      <c r="BR652" s="233"/>
      <c r="BS652" s="233"/>
      <c r="BT652" s="233"/>
      <c r="BU652" s="233"/>
      <c r="BV652" s="233"/>
      <c r="BW652" s="233"/>
      <c r="BX652" s="233"/>
      <c r="BY652" s="233"/>
      <c r="BZ652" s="233"/>
      <c r="CA652" s="233"/>
    </row>
    <row r="653" spans="43:79" x14ac:dyDescent="0.25">
      <c r="AQ653" s="233"/>
      <c r="AR653" s="233"/>
      <c r="AS653" s="233"/>
      <c r="AT653" s="233"/>
      <c r="AU653" s="233"/>
      <c r="AV653" s="233"/>
      <c r="AW653" s="233"/>
      <c r="AX653" s="233"/>
      <c r="AY653" s="233"/>
      <c r="AZ653" s="233"/>
      <c r="BA653" s="233"/>
      <c r="BB653" s="233"/>
      <c r="BC653" s="233"/>
      <c r="BD653" s="233"/>
      <c r="BE653" s="233"/>
      <c r="BF653" s="233"/>
      <c r="BG653" s="233"/>
      <c r="BH653" s="233"/>
      <c r="BI653" s="233"/>
      <c r="BJ653" s="233"/>
      <c r="BK653" s="233"/>
      <c r="BL653" s="233"/>
      <c r="BM653" s="233"/>
      <c r="BN653" s="233"/>
      <c r="BO653" s="233"/>
      <c r="BP653" s="233"/>
      <c r="BQ653" s="233"/>
      <c r="BR653" s="233"/>
      <c r="BS653" s="233"/>
      <c r="BT653" s="233"/>
      <c r="BU653" s="233"/>
      <c r="BV653" s="233"/>
      <c r="BW653" s="233"/>
      <c r="BX653" s="233"/>
      <c r="BY653" s="233"/>
      <c r="BZ653" s="233"/>
      <c r="CA653" s="233"/>
    </row>
    <row r="654" spans="43:79" x14ac:dyDescent="0.25">
      <c r="AQ654" s="233"/>
      <c r="AR654" s="233"/>
      <c r="AS654" s="233"/>
      <c r="AT654" s="233"/>
      <c r="AU654" s="233"/>
      <c r="AV654" s="233"/>
      <c r="AW654" s="233"/>
      <c r="AX654" s="233"/>
      <c r="AY654" s="233"/>
      <c r="AZ654" s="233"/>
      <c r="BA654" s="233"/>
      <c r="BB654" s="233"/>
      <c r="BC654" s="233"/>
      <c r="BD654" s="233"/>
      <c r="BE654" s="233"/>
      <c r="BF654" s="233"/>
      <c r="BG654" s="233"/>
      <c r="BH654" s="233"/>
      <c r="BI654" s="233"/>
      <c r="BJ654" s="233"/>
      <c r="BK654" s="233"/>
      <c r="BL654" s="233"/>
      <c r="BM654" s="233"/>
      <c r="BN654" s="233"/>
      <c r="BO654" s="233"/>
      <c r="BP654" s="233"/>
      <c r="BQ654" s="233"/>
      <c r="BR654" s="233"/>
      <c r="BS654" s="233"/>
      <c r="BT654" s="233"/>
      <c r="BU654" s="233"/>
      <c r="BV654" s="233"/>
      <c r="BW654" s="233"/>
      <c r="BX654" s="233"/>
      <c r="BY654" s="233"/>
      <c r="BZ654" s="233"/>
      <c r="CA654" s="233"/>
    </row>
    <row r="655" spans="43:79" x14ac:dyDescent="0.25">
      <c r="AQ655" s="233"/>
      <c r="AR655" s="233"/>
      <c r="AS655" s="233"/>
      <c r="AT655" s="233"/>
      <c r="AU655" s="233"/>
      <c r="AV655" s="233"/>
      <c r="AW655" s="233"/>
      <c r="AX655" s="233"/>
      <c r="AY655" s="233"/>
      <c r="AZ655" s="233"/>
      <c r="BA655" s="233"/>
      <c r="BB655" s="233"/>
      <c r="BC655" s="233"/>
      <c r="BD655" s="233"/>
      <c r="BE655" s="233"/>
      <c r="BF655" s="233"/>
      <c r="BG655" s="233"/>
      <c r="BH655" s="233"/>
      <c r="BI655" s="233"/>
      <c r="BJ655" s="233"/>
      <c r="BK655" s="233"/>
      <c r="BL655" s="233"/>
      <c r="BM655" s="233"/>
      <c r="BN655" s="233"/>
      <c r="BO655" s="233"/>
      <c r="BP655" s="233"/>
      <c r="BQ655" s="233"/>
      <c r="BR655" s="233"/>
      <c r="BS655" s="233"/>
      <c r="BT655" s="233"/>
      <c r="BU655" s="233"/>
      <c r="BV655" s="233"/>
      <c r="BW655" s="233"/>
      <c r="BX655" s="233"/>
      <c r="BY655" s="233"/>
      <c r="BZ655" s="233"/>
      <c r="CA655" s="233"/>
    </row>
    <row r="656" spans="43:79" x14ac:dyDescent="0.25">
      <c r="AQ656" s="233"/>
      <c r="AR656" s="233"/>
      <c r="AS656" s="233"/>
      <c r="AT656" s="233"/>
      <c r="AU656" s="233"/>
      <c r="AV656" s="233"/>
      <c r="AW656" s="233"/>
      <c r="AX656" s="233"/>
      <c r="AY656" s="233"/>
      <c r="AZ656" s="233"/>
      <c r="BA656" s="233"/>
      <c r="BB656" s="233"/>
      <c r="BC656" s="233"/>
      <c r="BD656" s="233"/>
      <c r="BE656" s="233"/>
      <c r="BF656" s="233"/>
      <c r="BG656" s="233"/>
      <c r="BH656" s="233"/>
      <c r="BI656" s="233"/>
      <c r="BJ656" s="233"/>
      <c r="BK656" s="233"/>
      <c r="BL656" s="233"/>
      <c r="BM656" s="233"/>
      <c r="BN656" s="233"/>
      <c r="BO656" s="233"/>
      <c r="BP656" s="233"/>
      <c r="BQ656" s="233"/>
      <c r="BR656" s="233"/>
      <c r="BS656" s="233"/>
      <c r="BT656" s="233"/>
      <c r="BU656" s="233"/>
      <c r="BV656" s="233"/>
      <c r="BW656" s="233"/>
      <c r="BX656" s="233"/>
      <c r="BY656" s="233"/>
      <c r="BZ656" s="233"/>
      <c r="CA656" s="233"/>
    </row>
    <row r="657" spans="43:79" x14ac:dyDescent="0.25">
      <c r="AQ657" s="233"/>
      <c r="AR657" s="233"/>
      <c r="AS657" s="233"/>
      <c r="AT657" s="233"/>
      <c r="AU657" s="233"/>
      <c r="AV657" s="233"/>
      <c r="AW657" s="233"/>
      <c r="AX657" s="233"/>
      <c r="AY657" s="233"/>
      <c r="AZ657" s="233"/>
      <c r="BA657" s="233"/>
      <c r="BB657" s="233"/>
      <c r="BC657" s="233"/>
      <c r="BD657" s="233"/>
      <c r="BE657" s="233"/>
      <c r="BF657" s="233"/>
      <c r="BG657" s="233"/>
      <c r="BH657" s="233"/>
      <c r="BI657" s="233"/>
      <c r="BJ657" s="233"/>
      <c r="BK657" s="233"/>
      <c r="BL657" s="233"/>
      <c r="BM657" s="233"/>
      <c r="BN657" s="233"/>
      <c r="BO657" s="233"/>
      <c r="BP657" s="233"/>
      <c r="BQ657" s="233"/>
      <c r="BR657" s="233"/>
      <c r="BS657" s="233"/>
      <c r="BT657" s="233"/>
      <c r="BU657" s="233"/>
      <c r="BV657" s="233"/>
      <c r="BW657" s="233"/>
      <c r="BX657" s="233"/>
      <c r="BY657" s="233"/>
      <c r="BZ657" s="233"/>
      <c r="CA657" s="233"/>
    </row>
    <row r="658" spans="43:79" x14ac:dyDescent="0.25">
      <c r="AQ658" s="233"/>
      <c r="AR658" s="233"/>
      <c r="AS658" s="233"/>
      <c r="AT658" s="233"/>
      <c r="AU658" s="233"/>
      <c r="AV658" s="233"/>
      <c r="AW658" s="233"/>
      <c r="AX658" s="233"/>
      <c r="AY658" s="233"/>
      <c r="AZ658" s="233"/>
      <c r="BA658" s="233"/>
      <c r="BB658" s="233"/>
      <c r="BC658" s="233"/>
      <c r="BD658" s="233"/>
      <c r="BE658" s="233"/>
      <c r="BF658" s="233"/>
      <c r="BG658" s="233"/>
      <c r="BH658" s="233"/>
      <c r="BI658" s="233"/>
      <c r="BJ658" s="233"/>
      <c r="BK658" s="233"/>
      <c r="BL658" s="233"/>
      <c r="BM658" s="233"/>
      <c r="BN658" s="233"/>
      <c r="BO658" s="233"/>
      <c r="BP658" s="233"/>
      <c r="BQ658" s="233"/>
      <c r="BR658" s="233"/>
      <c r="BS658" s="233"/>
      <c r="BT658" s="233"/>
      <c r="BU658" s="233"/>
      <c r="BV658" s="233"/>
      <c r="BW658" s="233"/>
      <c r="BX658" s="233"/>
      <c r="BY658" s="233"/>
      <c r="BZ658" s="233"/>
      <c r="CA658" s="233"/>
    </row>
    <row r="659" spans="43:79" x14ac:dyDescent="0.25">
      <c r="AQ659" s="233"/>
      <c r="AR659" s="233"/>
      <c r="AS659" s="233"/>
      <c r="AT659" s="233"/>
      <c r="AU659" s="233"/>
      <c r="AV659" s="233"/>
      <c r="AW659" s="233"/>
      <c r="AX659" s="233"/>
      <c r="AY659" s="233"/>
      <c r="AZ659" s="233"/>
      <c r="BA659" s="233"/>
      <c r="BB659" s="233"/>
      <c r="BC659" s="233"/>
      <c r="BD659" s="233"/>
      <c r="BE659" s="233"/>
      <c r="BF659" s="233"/>
      <c r="BG659" s="233"/>
      <c r="BH659" s="233"/>
      <c r="BI659" s="233"/>
      <c r="BJ659" s="233"/>
      <c r="BK659" s="233"/>
      <c r="BL659" s="233"/>
      <c r="BM659" s="233"/>
      <c r="BN659" s="233"/>
      <c r="BO659" s="233"/>
      <c r="BP659" s="233"/>
      <c r="BQ659" s="233"/>
      <c r="BR659" s="233"/>
      <c r="BS659" s="233"/>
      <c r="BT659" s="233"/>
      <c r="BU659" s="233"/>
      <c r="BV659" s="233"/>
      <c r="BW659" s="233"/>
      <c r="BX659" s="233"/>
      <c r="BY659" s="233"/>
      <c r="BZ659" s="233"/>
      <c r="CA659" s="233"/>
    </row>
    <row r="660" spans="43:79" x14ac:dyDescent="0.25">
      <c r="AQ660" s="233"/>
      <c r="AR660" s="233"/>
      <c r="AS660" s="233"/>
      <c r="AT660" s="233"/>
      <c r="AU660" s="233"/>
      <c r="AV660" s="233"/>
      <c r="AW660" s="233"/>
      <c r="AX660" s="233"/>
      <c r="AY660" s="233"/>
      <c r="AZ660" s="233"/>
      <c r="BA660" s="233"/>
      <c r="BB660" s="233"/>
      <c r="BC660" s="233"/>
      <c r="BD660" s="233"/>
      <c r="BE660" s="233"/>
      <c r="BF660" s="233"/>
      <c r="BG660" s="233"/>
      <c r="BH660" s="233"/>
      <c r="BI660" s="233"/>
      <c r="BJ660" s="233"/>
      <c r="BK660" s="233"/>
      <c r="BL660" s="233"/>
      <c r="BM660" s="233"/>
      <c r="BN660" s="233"/>
      <c r="BO660" s="233"/>
      <c r="BP660" s="233"/>
      <c r="BQ660" s="233"/>
      <c r="BR660" s="233"/>
      <c r="BS660" s="233"/>
      <c r="BT660" s="233"/>
      <c r="BU660" s="233"/>
      <c r="BV660" s="233"/>
      <c r="BW660" s="233"/>
      <c r="BX660" s="233"/>
      <c r="BY660" s="233"/>
      <c r="BZ660" s="233"/>
      <c r="CA660" s="233"/>
    </row>
    <row r="661" spans="43:79" x14ac:dyDescent="0.25">
      <c r="AQ661" s="233"/>
      <c r="AR661" s="233"/>
      <c r="AS661" s="233"/>
      <c r="AT661" s="233"/>
      <c r="AU661" s="233"/>
      <c r="AV661" s="233"/>
      <c r="AW661" s="233"/>
      <c r="AX661" s="233"/>
      <c r="AY661" s="233"/>
      <c r="AZ661" s="233"/>
      <c r="BA661" s="233"/>
      <c r="BB661" s="233"/>
      <c r="BC661" s="233"/>
      <c r="BD661" s="233"/>
      <c r="BE661" s="233"/>
      <c r="BF661" s="233"/>
      <c r="BG661" s="233"/>
      <c r="BH661" s="233"/>
      <c r="BI661" s="233"/>
      <c r="BJ661" s="233"/>
      <c r="BK661" s="233"/>
      <c r="BL661" s="233"/>
      <c r="BM661" s="233"/>
      <c r="BN661" s="233"/>
      <c r="BO661" s="233"/>
      <c r="BP661" s="233"/>
      <c r="BQ661" s="233"/>
      <c r="BR661" s="233"/>
      <c r="BS661" s="233"/>
      <c r="BT661" s="233"/>
      <c r="BU661" s="233"/>
      <c r="BV661" s="233"/>
      <c r="BW661" s="233"/>
      <c r="BX661" s="233"/>
      <c r="BY661" s="233"/>
      <c r="BZ661" s="233"/>
      <c r="CA661" s="233"/>
    </row>
    <row r="662" spans="43:79" x14ac:dyDescent="0.25">
      <c r="AQ662" s="233"/>
      <c r="AR662" s="233"/>
      <c r="AS662" s="233"/>
      <c r="AT662" s="233"/>
      <c r="AU662" s="233"/>
      <c r="AV662" s="233"/>
      <c r="AW662" s="233"/>
      <c r="AX662" s="233"/>
      <c r="AY662" s="233"/>
      <c r="AZ662" s="233"/>
      <c r="BA662" s="233"/>
      <c r="BB662" s="233"/>
      <c r="BC662" s="233"/>
      <c r="BD662" s="233"/>
      <c r="BE662" s="233"/>
      <c r="BF662" s="233"/>
      <c r="BG662" s="233"/>
      <c r="BH662" s="233"/>
      <c r="BI662" s="233"/>
      <c r="BJ662" s="233"/>
      <c r="BK662" s="233"/>
      <c r="BL662" s="233"/>
      <c r="BM662" s="233"/>
      <c r="BN662" s="233"/>
      <c r="BO662" s="233"/>
      <c r="BP662" s="233"/>
      <c r="BQ662" s="233"/>
      <c r="BR662" s="233"/>
      <c r="BS662" s="233"/>
      <c r="BT662" s="233"/>
      <c r="BU662" s="233"/>
      <c r="BV662" s="233"/>
      <c r="BW662" s="233"/>
      <c r="BX662" s="233"/>
      <c r="BY662" s="233"/>
      <c r="BZ662" s="233"/>
      <c r="CA662" s="233"/>
    </row>
    <row r="663" spans="43:79" x14ac:dyDescent="0.25">
      <c r="AQ663" s="233"/>
      <c r="AR663" s="233"/>
      <c r="AS663" s="233"/>
      <c r="AT663" s="233"/>
      <c r="AU663" s="233"/>
      <c r="AV663" s="233"/>
      <c r="AW663" s="233"/>
      <c r="AX663" s="233"/>
      <c r="AY663" s="233"/>
      <c r="AZ663" s="233"/>
      <c r="BA663" s="233"/>
      <c r="BB663" s="233"/>
      <c r="BC663" s="233"/>
      <c r="BD663" s="233"/>
      <c r="BE663" s="233"/>
      <c r="BF663" s="233"/>
      <c r="BG663" s="233"/>
      <c r="BH663" s="233"/>
      <c r="BI663" s="233"/>
      <c r="BJ663" s="233"/>
      <c r="BK663" s="233"/>
      <c r="BL663" s="233"/>
      <c r="BM663" s="233"/>
      <c r="BN663" s="233"/>
      <c r="BO663" s="233"/>
      <c r="BP663" s="233"/>
      <c r="BQ663" s="233"/>
      <c r="BR663" s="233"/>
      <c r="BS663" s="233"/>
      <c r="BT663" s="233"/>
      <c r="BU663" s="233"/>
      <c r="BV663" s="233"/>
      <c r="BW663" s="233"/>
      <c r="BX663" s="233"/>
      <c r="BY663" s="233"/>
      <c r="BZ663" s="233"/>
      <c r="CA663" s="233"/>
    </row>
    <row r="664" spans="43:79" x14ac:dyDescent="0.25">
      <c r="AQ664" s="233"/>
      <c r="AR664" s="233"/>
      <c r="AS664" s="233"/>
      <c r="AT664" s="233"/>
      <c r="AU664" s="233"/>
      <c r="AV664" s="233"/>
      <c r="AW664" s="233"/>
      <c r="AX664" s="233"/>
      <c r="AY664" s="233"/>
      <c r="AZ664" s="233"/>
      <c r="BA664" s="233"/>
      <c r="BB664" s="233"/>
      <c r="BC664" s="233"/>
      <c r="BD664" s="233"/>
      <c r="BE664" s="233"/>
      <c r="BF664" s="233"/>
      <c r="BG664" s="233"/>
      <c r="BH664" s="233"/>
      <c r="BI664" s="233"/>
      <c r="BJ664" s="233"/>
      <c r="BK664" s="233"/>
      <c r="BL664" s="233"/>
      <c r="BM664" s="233"/>
      <c r="BN664" s="233"/>
      <c r="BO664" s="233"/>
      <c r="BP664" s="233"/>
      <c r="BQ664" s="233"/>
      <c r="BR664" s="233"/>
      <c r="BS664" s="233"/>
      <c r="BT664" s="233"/>
      <c r="BU664" s="233"/>
      <c r="BV664" s="233"/>
      <c r="BW664" s="233"/>
      <c r="BX664" s="233"/>
      <c r="BY664" s="233"/>
      <c r="BZ664" s="233"/>
      <c r="CA664" s="233"/>
    </row>
    <row r="665" spans="43:79" x14ac:dyDescent="0.25">
      <c r="AQ665" s="233"/>
      <c r="AR665" s="233"/>
      <c r="AS665" s="233"/>
      <c r="AT665" s="233"/>
      <c r="AU665" s="233"/>
      <c r="AV665" s="233"/>
      <c r="AW665" s="233"/>
      <c r="AX665" s="233"/>
      <c r="AY665" s="233"/>
      <c r="AZ665" s="233"/>
      <c r="BA665" s="233"/>
      <c r="BB665" s="233"/>
      <c r="BC665" s="233"/>
      <c r="BD665" s="233"/>
      <c r="BE665" s="233"/>
      <c r="BF665" s="233"/>
      <c r="BG665" s="233"/>
      <c r="BH665" s="233"/>
      <c r="BI665" s="233"/>
      <c r="BJ665" s="233"/>
      <c r="BK665" s="233"/>
      <c r="BL665" s="233"/>
      <c r="BM665" s="233"/>
      <c r="BN665" s="233"/>
      <c r="BO665" s="233"/>
      <c r="BP665" s="233"/>
      <c r="BQ665" s="233"/>
      <c r="BR665" s="233"/>
      <c r="BS665" s="233"/>
      <c r="BT665" s="233"/>
      <c r="BU665" s="233"/>
      <c r="BV665" s="233"/>
      <c r="BW665" s="233"/>
      <c r="BX665" s="233"/>
      <c r="BY665" s="233"/>
      <c r="BZ665" s="233"/>
      <c r="CA665" s="233"/>
    </row>
    <row r="666" spans="43:79" x14ac:dyDescent="0.25">
      <c r="AQ666" s="233"/>
      <c r="AR666" s="233"/>
      <c r="AS666" s="233"/>
      <c r="AT666" s="233"/>
      <c r="AU666" s="233"/>
      <c r="AV666" s="233"/>
      <c r="AW666" s="233"/>
      <c r="AX666" s="233"/>
      <c r="AY666" s="233"/>
      <c r="AZ666" s="233"/>
      <c r="BA666" s="233"/>
      <c r="BB666" s="233"/>
      <c r="BC666" s="233"/>
      <c r="BD666" s="233"/>
      <c r="BE666" s="233"/>
      <c r="BF666" s="233"/>
      <c r="BG666" s="233"/>
      <c r="BH666" s="233"/>
      <c r="BI666" s="233"/>
      <c r="BJ666" s="233"/>
      <c r="BK666" s="233"/>
      <c r="BL666" s="233"/>
      <c r="BM666" s="233"/>
      <c r="BN666" s="233"/>
      <c r="BO666" s="233"/>
      <c r="BP666" s="233"/>
      <c r="BQ666" s="233"/>
      <c r="BR666" s="233"/>
      <c r="BS666" s="233"/>
      <c r="BT666" s="233"/>
      <c r="BU666" s="233"/>
      <c r="BV666" s="233"/>
      <c r="BW666" s="233"/>
      <c r="BX666" s="233"/>
      <c r="BY666" s="233"/>
      <c r="BZ666" s="233"/>
      <c r="CA666" s="233"/>
    </row>
    <row r="667" spans="43:79" x14ac:dyDescent="0.25">
      <c r="AQ667" s="233"/>
      <c r="AR667" s="233"/>
      <c r="AS667" s="233"/>
      <c r="AT667" s="233"/>
      <c r="AU667" s="233"/>
      <c r="AV667" s="233"/>
      <c r="AW667" s="233"/>
      <c r="AX667" s="233"/>
      <c r="AY667" s="233"/>
      <c r="AZ667" s="233"/>
      <c r="BA667" s="233"/>
      <c r="BB667" s="233"/>
      <c r="BC667" s="233"/>
      <c r="BD667" s="233"/>
      <c r="BE667" s="233"/>
      <c r="BF667" s="233"/>
      <c r="BG667" s="233"/>
      <c r="BH667" s="233"/>
      <c r="BI667" s="233"/>
      <c r="BJ667" s="233"/>
      <c r="BK667" s="233"/>
      <c r="BL667" s="233"/>
      <c r="BM667" s="233"/>
      <c r="BN667" s="233"/>
      <c r="BO667" s="233"/>
      <c r="BP667" s="233"/>
      <c r="BQ667" s="233"/>
      <c r="BR667" s="233"/>
      <c r="BS667" s="233"/>
      <c r="BT667" s="233"/>
      <c r="BU667" s="233"/>
      <c r="BV667" s="233"/>
      <c r="BW667" s="233"/>
      <c r="BX667" s="233"/>
      <c r="BY667" s="233"/>
      <c r="BZ667" s="233"/>
      <c r="CA667" s="233"/>
    </row>
    <row r="668" spans="43:79" x14ac:dyDescent="0.25">
      <c r="AQ668" s="233"/>
      <c r="AR668" s="233"/>
      <c r="AS668" s="233"/>
      <c r="AT668" s="233"/>
      <c r="AU668" s="233"/>
      <c r="AV668" s="233"/>
      <c r="AW668" s="233"/>
      <c r="AX668" s="233"/>
      <c r="AY668" s="233"/>
      <c r="AZ668" s="233"/>
      <c r="BA668" s="233"/>
      <c r="BB668" s="233"/>
      <c r="BC668" s="233"/>
      <c r="BD668" s="233"/>
      <c r="BE668" s="233"/>
      <c r="BF668" s="233"/>
      <c r="BG668" s="233"/>
      <c r="BH668" s="233"/>
      <c r="BI668" s="233"/>
      <c r="BJ668" s="233"/>
      <c r="BK668" s="233"/>
      <c r="BL668" s="233"/>
      <c r="BM668" s="233"/>
      <c r="BN668" s="233"/>
      <c r="BO668" s="233"/>
      <c r="BP668" s="233"/>
      <c r="BQ668" s="233"/>
      <c r="BR668" s="233"/>
      <c r="BS668" s="233"/>
      <c r="BT668" s="233"/>
      <c r="BU668" s="233"/>
      <c r="BV668" s="233"/>
      <c r="BW668" s="233"/>
      <c r="BX668" s="233"/>
      <c r="BY668" s="233"/>
      <c r="BZ668" s="233"/>
      <c r="CA668" s="233"/>
    </row>
    <row r="669" spans="43:79" x14ac:dyDescent="0.25">
      <c r="AQ669" s="233"/>
      <c r="AR669" s="233"/>
      <c r="AS669" s="233"/>
      <c r="AT669" s="233"/>
      <c r="AU669" s="233"/>
      <c r="AV669" s="233"/>
      <c r="AW669" s="233"/>
      <c r="AX669" s="233"/>
      <c r="AY669" s="233"/>
      <c r="AZ669" s="233"/>
      <c r="BA669" s="233"/>
      <c r="BB669" s="233"/>
      <c r="BC669" s="233"/>
      <c r="BD669" s="233"/>
      <c r="BE669" s="233"/>
      <c r="BF669" s="233"/>
      <c r="BG669" s="233"/>
      <c r="BH669" s="233"/>
      <c r="BI669" s="233"/>
      <c r="BJ669" s="233"/>
      <c r="BK669" s="233"/>
      <c r="BL669" s="233"/>
      <c r="BM669" s="233"/>
      <c r="BN669" s="233"/>
      <c r="BO669" s="233"/>
      <c r="BP669" s="233"/>
      <c r="BQ669" s="233"/>
      <c r="BR669" s="233"/>
      <c r="BS669" s="233"/>
      <c r="BT669" s="233"/>
      <c r="BU669" s="233"/>
      <c r="BV669" s="233"/>
      <c r="BW669" s="233"/>
      <c r="BX669" s="233"/>
      <c r="BY669" s="233"/>
      <c r="BZ669" s="233"/>
      <c r="CA669" s="233"/>
    </row>
    <row r="670" spans="43:79" x14ac:dyDescent="0.25">
      <c r="AQ670" s="233"/>
      <c r="AR670" s="233"/>
      <c r="AS670" s="233"/>
      <c r="AT670" s="233"/>
      <c r="AU670" s="233"/>
      <c r="AV670" s="233"/>
      <c r="AW670" s="233"/>
      <c r="AX670" s="233"/>
      <c r="AY670" s="233"/>
      <c r="AZ670" s="233"/>
      <c r="BA670" s="233"/>
      <c r="BB670" s="233"/>
      <c r="BC670" s="233"/>
      <c r="BD670" s="233"/>
      <c r="BE670" s="233"/>
      <c r="BF670" s="233"/>
      <c r="BG670" s="233"/>
      <c r="BH670" s="233"/>
      <c r="BI670" s="233"/>
      <c r="BJ670" s="233"/>
      <c r="BK670" s="233"/>
      <c r="BL670" s="233"/>
      <c r="BM670" s="233"/>
      <c r="BN670" s="233"/>
      <c r="BO670" s="233"/>
      <c r="BP670" s="233"/>
      <c r="BQ670" s="233"/>
      <c r="BR670" s="233"/>
      <c r="BS670" s="233"/>
      <c r="BT670" s="233"/>
      <c r="BU670" s="233"/>
      <c r="BV670" s="233"/>
      <c r="BW670" s="233"/>
      <c r="BX670" s="233"/>
      <c r="BY670" s="233"/>
      <c r="BZ670" s="233"/>
      <c r="CA670" s="233"/>
    </row>
    <row r="671" spans="43:79" x14ac:dyDescent="0.25">
      <c r="AQ671" s="233"/>
      <c r="AR671" s="233"/>
      <c r="AS671" s="233"/>
      <c r="AT671" s="233"/>
      <c r="AU671" s="233"/>
      <c r="AV671" s="233"/>
      <c r="AW671" s="233"/>
      <c r="AX671" s="233"/>
      <c r="AY671" s="233"/>
      <c r="AZ671" s="233"/>
      <c r="BA671" s="233"/>
      <c r="BB671" s="233"/>
      <c r="BC671" s="233"/>
      <c r="BD671" s="233"/>
      <c r="BE671" s="233"/>
      <c r="BF671" s="233"/>
      <c r="BG671" s="233"/>
      <c r="BH671" s="233"/>
      <c r="BI671" s="233"/>
      <c r="BJ671" s="233"/>
      <c r="BK671" s="233"/>
      <c r="BL671" s="233"/>
      <c r="BM671" s="233"/>
      <c r="BN671" s="233"/>
      <c r="BO671" s="233"/>
      <c r="BP671" s="233"/>
      <c r="BQ671" s="233"/>
      <c r="BR671" s="233"/>
      <c r="BS671" s="233"/>
      <c r="BT671" s="233"/>
      <c r="BU671" s="233"/>
      <c r="BV671" s="233"/>
      <c r="BW671" s="233"/>
      <c r="BX671" s="233"/>
      <c r="BY671" s="233"/>
      <c r="BZ671" s="233"/>
      <c r="CA671" s="233"/>
    </row>
    <row r="672" spans="43:79" x14ac:dyDescent="0.25">
      <c r="AQ672" s="233"/>
      <c r="AR672" s="233"/>
      <c r="AS672" s="233"/>
      <c r="AT672" s="233"/>
      <c r="AU672" s="233"/>
      <c r="AV672" s="233"/>
      <c r="AW672" s="233"/>
      <c r="AX672" s="233"/>
      <c r="AY672" s="233"/>
      <c r="AZ672" s="233"/>
      <c r="BA672" s="233"/>
      <c r="BB672" s="233"/>
      <c r="BC672" s="233"/>
      <c r="BD672" s="233"/>
      <c r="BE672" s="233"/>
      <c r="BF672" s="233"/>
      <c r="BG672" s="233"/>
      <c r="BH672" s="233"/>
      <c r="BI672" s="233"/>
      <c r="BJ672" s="233"/>
      <c r="BK672" s="233"/>
      <c r="BL672" s="233"/>
      <c r="BM672" s="233"/>
      <c r="BN672" s="233"/>
      <c r="BO672" s="233"/>
      <c r="BP672" s="233"/>
      <c r="BQ672" s="233"/>
      <c r="BR672" s="233"/>
      <c r="BS672" s="233"/>
      <c r="BT672" s="233"/>
      <c r="BU672" s="233"/>
      <c r="BV672" s="233"/>
      <c r="BW672" s="233"/>
      <c r="BX672" s="233"/>
      <c r="BY672" s="233"/>
      <c r="BZ672" s="233"/>
      <c r="CA672" s="233"/>
    </row>
    <row r="673" spans="43:79" x14ac:dyDescent="0.25">
      <c r="AQ673" s="233"/>
      <c r="AR673" s="233"/>
      <c r="AS673" s="233"/>
      <c r="AT673" s="233"/>
      <c r="AU673" s="233"/>
      <c r="AV673" s="233"/>
      <c r="AW673" s="233"/>
      <c r="AX673" s="233"/>
      <c r="AY673" s="233"/>
      <c r="AZ673" s="233"/>
      <c r="BA673" s="233"/>
      <c r="BB673" s="233"/>
      <c r="BC673" s="233"/>
      <c r="BD673" s="233"/>
      <c r="BE673" s="233"/>
      <c r="BF673" s="233"/>
      <c r="BG673" s="233"/>
      <c r="BH673" s="233"/>
      <c r="BI673" s="233"/>
      <c r="BJ673" s="233"/>
      <c r="BK673" s="233"/>
      <c r="BL673" s="233"/>
      <c r="BM673" s="233"/>
      <c r="BN673" s="233"/>
      <c r="BO673" s="233"/>
      <c r="BP673" s="233"/>
      <c r="BQ673" s="233"/>
      <c r="BR673" s="233"/>
      <c r="BS673" s="233"/>
      <c r="BT673" s="233"/>
      <c r="BU673" s="233"/>
      <c r="BV673" s="233"/>
      <c r="BW673" s="233"/>
      <c r="BX673" s="233"/>
      <c r="BY673" s="233"/>
      <c r="BZ673" s="233"/>
      <c r="CA673" s="233"/>
    </row>
    <row r="674" spans="43:79" x14ac:dyDescent="0.25">
      <c r="AQ674" s="233"/>
      <c r="AR674" s="233"/>
      <c r="AS674" s="233"/>
      <c r="AT674" s="233"/>
      <c r="AU674" s="233"/>
      <c r="AV674" s="233"/>
      <c r="AW674" s="233"/>
      <c r="AX674" s="233"/>
      <c r="AY674" s="233"/>
      <c r="AZ674" s="233"/>
      <c r="BA674" s="233"/>
      <c r="BB674" s="233"/>
      <c r="BC674" s="233"/>
      <c r="BD674" s="233"/>
      <c r="BE674" s="233"/>
      <c r="BF674" s="233"/>
      <c r="BG674" s="233"/>
      <c r="BH674" s="233"/>
      <c r="BI674" s="233"/>
      <c r="BJ674" s="233"/>
      <c r="BK674" s="233"/>
      <c r="BL674" s="233"/>
      <c r="BM674" s="233"/>
      <c r="BN674" s="233"/>
      <c r="BO674" s="233"/>
      <c r="BP674" s="233"/>
      <c r="BQ674" s="233"/>
      <c r="BR674" s="233"/>
      <c r="BS674" s="233"/>
      <c r="BT674" s="233"/>
      <c r="BU674" s="233"/>
      <c r="BV674" s="233"/>
      <c r="BW674" s="233"/>
      <c r="BX674" s="233"/>
      <c r="BY674" s="233"/>
      <c r="BZ674" s="233"/>
      <c r="CA674" s="233"/>
    </row>
    <row r="675" spans="43:79" x14ac:dyDescent="0.25">
      <c r="AQ675" s="233"/>
      <c r="AR675" s="233"/>
      <c r="AS675" s="233"/>
      <c r="AT675" s="233"/>
      <c r="AU675" s="233"/>
      <c r="AV675" s="233"/>
      <c r="AW675" s="233"/>
      <c r="AX675" s="233"/>
      <c r="AY675" s="233"/>
      <c r="AZ675" s="233"/>
      <c r="BA675" s="233"/>
      <c r="BB675" s="233"/>
      <c r="BC675" s="233"/>
      <c r="BD675" s="233"/>
      <c r="BE675" s="233"/>
      <c r="BF675" s="233"/>
      <c r="BG675" s="233"/>
      <c r="BH675" s="233"/>
      <c r="BI675" s="233"/>
      <c r="BJ675" s="233"/>
      <c r="BK675" s="233"/>
      <c r="BL675" s="233"/>
      <c r="BM675" s="233"/>
      <c r="BN675" s="233"/>
      <c r="BO675" s="233"/>
      <c r="BP675" s="233"/>
      <c r="BQ675" s="233"/>
      <c r="BR675" s="233"/>
      <c r="BS675" s="233"/>
      <c r="BT675" s="233"/>
      <c r="BU675" s="233"/>
      <c r="BV675" s="233"/>
      <c r="BW675" s="233"/>
      <c r="BX675" s="233"/>
      <c r="BY675" s="233"/>
      <c r="BZ675" s="233"/>
      <c r="CA675" s="233"/>
    </row>
    <row r="676" spans="43:79" x14ac:dyDescent="0.25">
      <c r="AQ676" s="233"/>
      <c r="AR676" s="233"/>
      <c r="AS676" s="233"/>
      <c r="AT676" s="233"/>
      <c r="AU676" s="233"/>
      <c r="AV676" s="233"/>
      <c r="AW676" s="233"/>
      <c r="AX676" s="233"/>
      <c r="AY676" s="233"/>
      <c r="AZ676" s="233"/>
      <c r="BA676" s="233"/>
      <c r="BB676" s="233"/>
      <c r="BC676" s="233"/>
      <c r="BD676" s="233"/>
      <c r="BE676" s="233"/>
      <c r="BF676" s="233"/>
      <c r="BG676" s="233"/>
      <c r="BH676" s="233"/>
      <c r="BI676" s="233"/>
      <c r="BJ676" s="233"/>
      <c r="BK676" s="233"/>
      <c r="BL676" s="233"/>
      <c r="BM676" s="233"/>
      <c r="BN676" s="233"/>
      <c r="BO676" s="233"/>
      <c r="BP676" s="233"/>
      <c r="BQ676" s="233"/>
      <c r="BR676" s="233"/>
      <c r="BS676" s="233"/>
      <c r="BT676" s="233"/>
      <c r="BU676" s="233"/>
      <c r="BV676" s="233"/>
      <c r="BW676" s="233"/>
      <c r="BX676" s="233"/>
      <c r="BY676" s="233"/>
      <c r="BZ676" s="233"/>
      <c r="CA676" s="233"/>
    </row>
    <row r="677" spans="43:79" x14ac:dyDescent="0.25">
      <c r="AQ677" s="233"/>
      <c r="AR677" s="233"/>
      <c r="AS677" s="233"/>
      <c r="AT677" s="233"/>
      <c r="AU677" s="233"/>
      <c r="AV677" s="233"/>
      <c r="AW677" s="233"/>
      <c r="AX677" s="233"/>
      <c r="AY677" s="233"/>
      <c r="AZ677" s="233"/>
      <c r="BA677" s="233"/>
      <c r="BB677" s="233"/>
      <c r="BC677" s="233"/>
      <c r="BD677" s="233"/>
      <c r="BE677" s="233"/>
      <c r="BF677" s="233"/>
      <c r="BG677" s="233"/>
      <c r="BH677" s="233"/>
      <c r="BI677" s="233"/>
      <c r="BJ677" s="233"/>
      <c r="BK677" s="233"/>
      <c r="BL677" s="233"/>
      <c r="BM677" s="233"/>
      <c r="BN677" s="233"/>
      <c r="BO677" s="233"/>
      <c r="BP677" s="233"/>
      <c r="BQ677" s="233"/>
      <c r="BR677" s="233"/>
      <c r="BS677" s="233"/>
      <c r="BT677" s="233"/>
      <c r="BU677" s="233"/>
      <c r="BV677" s="233"/>
      <c r="BW677" s="233"/>
      <c r="BX677" s="233"/>
      <c r="BY677" s="233"/>
      <c r="BZ677" s="233"/>
      <c r="CA677" s="233"/>
    </row>
    <row r="678" spans="43:79" x14ac:dyDescent="0.25">
      <c r="AQ678" s="233"/>
      <c r="AR678" s="233"/>
      <c r="AS678" s="233"/>
      <c r="AT678" s="233"/>
      <c r="AU678" s="233"/>
      <c r="AV678" s="233"/>
      <c r="AW678" s="233"/>
      <c r="AX678" s="233"/>
      <c r="AY678" s="233"/>
      <c r="AZ678" s="233"/>
      <c r="BA678" s="233"/>
      <c r="BB678" s="233"/>
      <c r="BC678" s="233"/>
      <c r="BD678" s="233"/>
      <c r="BE678" s="233"/>
      <c r="BF678" s="233"/>
      <c r="BG678" s="233"/>
      <c r="BH678" s="233"/>
      <c r="BI678" s="233"/>
      <c r="BJ678" s="233"/>
      <c r="BK678" s="233"/>
      <c r="BL678" s="233"/>
      <c r="BM678" s="233"/>
      <c r="BN678" s="233"/>
      <c r="BO678" s="233"/>
      <c r="BP678" s="233"/>
      <c r="BQ678" s="233"/>
      <c r="BR678" s="233"/>
      <c r="BS678" s="233"/>
      <c r="BT678" s="233"/>
      <c r="BU678" s="233"/>
      <c r="BV678" s="233"/>
      <c r="BW678" s="233"/>
      <c r="BX678" s="233"/>
      <c r="BY678" s="233"/>
      <c r="BZ678" s="233"/>
      <c r="CA678" s="233"/>
    </row>
    <row r="679" spans="43:79" x14ac:dyDescent="0.25">
      <c r="AQ679" s="233"/>
      <c r="AR679" s="233"/>
      <c r="AS679" s="233"/>
      <c r="AT679" s="233"/>
      <c r="AU679" s="233"/>
      <c r="AV679" s="233"/>
      <c r="AW679" s="233"/>
      <c r="AX679" s="233"/>
      <c r="AY679" s="233"/>
      <c r="AZ679" s="233"/>
      <c r="BA679" s="233"/>
      <c r="BB679" s="233"/>
      <c r="BC679" s="233"/>
      <c r="BD679" s="233"/>
      <c r="BE679" s="233"/>
      <c r="BF679" s="233"/>
      <c r="BG679" s="233"/>
      <c r="BH679" s="233"/>
      <c r="BI679" s="233"/>
      <c r="BJ679" s="233"/>
      <c r="BK679" s="233"/>
      <c r="BL679" s="233"/>
      <c r="BM679" s="233"/>
      <c r="BN679" s="233"/>
      <c r="BO679" s="233"/>
      <c r="BP679" s="233"/>
      <c r="BQ679" s="233"/>
      <c r="BR679" s="233"/>
      <c r="BS679" s="233"/>
      <c r="BT679" s="233"/>
      <c r="BU679" s="233"/>
      <c r="BV679" s="233"/>
      <c r="BW679" s="233"/>
      <c r="BX679" s="233"/>
      <c r="BY679" s="233"/>
      <c r="BZ679" s="233"/>
      <c r="CA679" s="233"/>
    </row>
    <row r="680" spans="43:79" x14ac:dyDescent="0.25">
      <c r="AQ680" s="233"/>
      <c r="AR680" s="233"/>
      <c r="AS680" s="233"/>
      <c r="AT680" s="233"/>
      <c r="AU680" s="233"/>
      <c r="AV680" s="233"/>
      <c r="AW680" s="233"/>
      <c r="AX680" s="233"/>
      <c r="AY680" s="233"/>
      <c r="AZ680" s="233"/>
      <c r="BA680" s="233"/>
      <c r="BB680" s="233"/>
      <c r="BC680" s="233"/>
      <c r="BD680" s="233"/>
      <c r="BE680" s="233"/>
      <c r="BF680" s="233"/>
      <c r="BG680" s="233"/>
      <c r="BH680" s="233"/>
      <c r="BI680" s="233"/>
      <c r="BJ680" s="233"/>
      <c r="BK680" s="233"/>
      <c r="BL680" s="233"/>
      <c r="BM680" s="233"/>
      <c r="BN680" s="233"/>
      <c r="BO680" s="233"/>
      <c r="BP680" s="233"/>
      <c r="BQ680" s="233"/>
      <c r="BR680" s="233"/>
      <c r="BS680" s="233"/>
      <c r="BT680" s="233"/>
      <c r="BU680" s="233"/>
      <c r="BV680" s="233"/>
      <c r="BW680" s="233"/>
      <c r="BX680" s="233"/>
      <c r="BY680" s="233"/>
      <c r="BZ680" s="233"/>
      <c r="CA680" s="233"/>
    </row>
    <row r="681" spans="43:79" x14ac:dyDescent="0.25">
      <c r="AQ681" s="233"/>
      <c r="AR681" s="233"/>
      <c r="AS681" s="233"/>
      <c r="AT681" s="233"/>
      <c r="AU681" s="233"/>
      <c r="AV681" s="233"/>
      <c r="AW681" s="233"/>
      <c r="AX681" s="233"/>
      <c r="AY681" s="233"/>
      <c r="AZ681" s="233"/>
      <c r="BA681" s="233"/>
      <c r="BB681" s="233"/>
      <c r="BC681" s="233"/>
      <c r="BD681" s="233"/>
      <c r="BE681" s="233"/>
      <c r="BF681" s="233"/>
      <c r="BG681" s="233"/>
      <c r="BH681" s="233"/>
      <c r="BI681" s="233"/>
      <c r="BJ681" s="233"/>
      <c r="BK681" s="233"/>
      <c r="BL681" s="233"/>
      <c r="BM681" s="233"/>
      <c r="BN681" s="233"/>
      <c r="BO681" s="233"/>
      <c r="BP681" s="233"/>
      <c r="BQ681" s="233"/>
      <c r="BR681" s="233"/>
      <c r="BS681" s="233"/>
      <c r="BT681" s="233"/>
      <c r="BU681" s="233"/>
      <c r="BV681" s="233"/>
      <c r="BW681" s="233"/>
      <c r="BX681" s="233"/>
      <c r="BY681" s="233"/>
      <c r="BZ681" s="233"/>
      <c r="CA681" s="233"/>
    </row>
    <row r="682" spans="43:79" x14ac:dyDescent="0.25">
      <c r="AQ682" s="233"/>
      <c r="AR682" s="233"/>
      <c r="AS682" s="233"/>
      <c r="AT682" s="233"/>
      <c r="AU682" s="233"/>
      <c r="AV682" s="233"/>
      <c r="AW682" s="233"/>
      <c r="AX682" s="233"/>
      <c r="AY682" s="233"/>
      <c r="AZ682" s="233"/>
      <c r="BA682" s="233"/>
      <c r="BB682" s="233"/>
      <c r="BC682" s="233"/>
      <c r="BD682" s="233"/>
      <c r="BE682" s="233"/>
      <c r="BF682" s="233"/>
      <c r="BG682" s="233"/>
      <c r="BH682" s="233"/>
      <c r="BI682" s="233"/>
      <c r="BJ682" s="233"/>
      <c r="BK682" s="233"/>
      <c r="BL682" s="233"/>
      <c r="BM682" s="233"/>
      <c r="BN682" s="233"/>
      <c r="BO682" s="233"/>
      <c r="BP682" s="233"/>
      <c r="BQ682" s="233"/>
      <c r="BR682" s="233"/>
      <c r="BS682" s="233"/>
      <c r="BT682" s="233"/>
      <c r="BU682" s="233"/>
      <c r="BV682" s="233"/>
      <c r="BW682" s="233"/>
      <c r="BX682" s="233"/>
      <c r="BY682" s="233"/>
      <c r="BZ682" s="233"/>
      <c r="CA682" s="233"/>
    </row>
    <row r="683" spans="43:79" x14ac:dyDescent="0.25">
      <c r="AQ683" s="233"/>
      <c r="AR683" s="233"/>
      <c r="AS683" s="233"/>
      <c r="AT683" s="233"/>
      <c r="AU683" s="233"/>
      <c r="AV683" s="233"/>
      <c r="AW683" s="233"/>
      <c r="AX683" s="233"/>
      <c r="AY683" s="233"/>
      <c r="AZ683" s="233"/>
      <c r="BA683" s="233"/>
      <c r="BB683" s="233"/>
      <c r="BC683" s="233"/>
      <c r="BD683" s="233"/>
      <c r="BE683" s="233"/>
      <c r="BF683" s="233"/>
      <c r="BG683" s="233"/>
      <c r="BH683" s="233"/>
      <c r="BI683" s="233"/>
      <c r="BJ683" s="233"/>
      <c r="BK683" s="233"/>
      <c r="BL683" s="233"/>
      <c r="BM683" s="233"/>
      <c r="BN683" s="233"/>
      <c r="BO683" s="233"/>
      <c r="BP683" s="233"/>
      <c r="BQ683" s="233"/>
      <c r="BR683" s="233"/>
      <c r="BS683" s="233"/>
      <c r="BT683" s="233"/>
      <c r="BU683" s="233"/>
      <c r="BV683" s="233"/>
      <c r="BW683" s="233"/>
      <c r="BX683" s="233"/>
      <c r="BY683" s="233"/>
      <c r="BZ683" s="233"/>
      <c r="CA683" s="233"/>
    </row>
    <row r="684" spans="43:79" x14ac:dyDescent="0.25">
      <c r="AQ684" s="233"/>
      <c r="AR684" s="233"/>
      <c r="AS684" s="233"/>
      <c r="AT684" s="233"/>
      <c r="AU684" s="233"/>
      <c r="AV684" s="233"/>
      <c r="AW684" s="233"/>
      <c r="AX684" s="233"/>
      <c r="AY684" s="233"/>
      <c r="AZ684" s="233"/>
      <c r="BA684" s="233"/>
      <c r="BB684" s="233"/>
      <c r="BC684" s="233"/>
      <c r="BD684" s="233"/>
      <c r="BE684" s="233"/>
      <c r="BF684" s="233"/>
      <c r="BG684" s="233"/>
      <c r="BH684" s="233"/>
      <c r="BI684" s="233"/>
      <c r="BJ684" s="233"/>
      <c r="BK684" s="233"/>
      <c r="BL684" s="233"/>
      <c r="BM684" s="233"/>
      <c r="BN684" s="233"/>
      <c r="BO684" s="233"/>
      <c r="BP684" s="233"/>
      <c r="BQ684" s="233"/>
      <c r="BR684" s="233"/>
      <c r="BS684" s="233"/>
      <c r="BT684" s="233"/>
      <c r="BU684" s="233"/>
      <c r="BV684" s="233"/>
      <c r="BW684" s="233"/>
      <c r="BX684" s="233"/>
      <c r="BY684" s="233"/>
      <c r="BZ684" s="233"/>
      <c r="CA684" s="233"/>
    </row>
    <row r="685" spans="43:79" ht="15" customHeight="1" x14ac:dyDescent="0.25">
      <c r="AQ685" s="233"/>
      <c r="AR685" s="233"/>
      <c r="AS685" s="233"/>
      <c r="AT685" s="233"/>
      <c r="AU685" s="233"/>
      <c r="AV685" s="233"/>
      <c r="AW685" s="233"/>
      <c r="AX685" s="233"/>
      <c r="AY685" s="233"/>
      <c r="AZ685" s="233"/>
      <c r="BA685" s="233"/>
      <c r="BB685" s="233"/>
      <c r="BC685" s="233"/>
      <c r="BD685" s="233"/>
      <c r="BE685" s="233"/>
      <c r="BF685" s="233"/>
      <c r="BG685" s="233"/>
      <c r="BH685" s="233"/>
      <c r="BI685" s="233"/>
      <c r="BJ685" s="233"/>
      <c r="BK685" s="233"/>
      <c r="BL685" s="233"/>
      <c r="BM685" s="233"/>
      <c r="BN685" s="233"/>
      <c r="BO685" s="233"/>
      <c r="BP685" s="233"/>
      <c r="BQ685" s="233"/>
      <c r="BR685" s="233"/>
      <c r="BS685" s="233"/>
      <c r="BT685" s="233"/>
      <c r="BU685" s="233"/>
      <c r="BV685" s="233"/>
      <c r="BW685" s="233"/>
      <c r="BX685" s="233"/>
      <c r="BY685" s="233"/>
      <c r="BZ685" s="233"/>
      <c r="CA685" s="233"/>
    </row>
    <row r="686" spans="43:79" ht="15" customHeight="1" x14ac:dyDescent="0.25">
      <c r="AQ686" s="233"/>
      <c r="AR686" s="233"/>
      <c r="AS686" s="233"/>
      <c r="AT686" s="233"/>
      <c r="AU686" s="233"/>
      <c r="AV686" s="233"/>
      <c r="AW686" s="233"/>
      <c r="AX686" s="233"/>
      <c r="AY686" s="233"/>
      <c r="AZ686" s="233"/>
      <c r="BA686" s="233"/>
      <c r="BB686" s="233"/>
      <c r="BC686" s="233"/>
      <c r="BD686" s="233"/>
      <c r="BE686" s="233"/>
      <c r="BF686" s="233"/>
      <c r="BG686" s="233"/>
      <c r="BH686" s="233"/>
      <c r="BI686" s="233"/>
      <c r="BJ686" s="233"/>
      <c r="BK686" s="233"/>
      <c r="BL686" s="233"/>
      <c r="BM686" s="233"/>
      <c r="BN686" s="233"/>
      <c r="BO686" s="233"/>
      <c r="BP686" s="233"/>
      <c r="BQ686" s="233"/>
      <c r="BR686" s="233"/>
      <c r="BS686" s="233"/>
      <c r="BT686" s="233"/>
      <c r="BU686" s="233"/>
      <c r="BV686" s="233"/>
      <c r="BW686" s="233"/>
      <c r="BX686" s="233"/>
      <c r="BY686" s="233"/>
      <c r="BZ686" s="233"/>
      <c r="CA686" s="233"/>
    </row>
    <row r="687" spans="43:79" ht="15" customHeight="1" x14ac:dyDescent="0.25">
      <c r="AQ687" s="233"/>
      <c r="AR687" s="233"/>
      <c r="AS687" s="233"/>
      <c r="AT687" s="233"/>
      <c r="AU687" s="233"/>
      <c r="AV687" s="233"/>
      <c r="AW687" s="233"/>
      <c r="AX687" s="233"/>
      <c r="AY687" s="233"/>
      <c r="AZ687" s="233"/>
      <c r="BA687" s="233"/>
      <c r="BB687" s="233"/>
      <c r="BC687" s="233"/>
      <c r="BD687" s="233"/>
      <c r="BE687" s="233"/>
      <c r="BF687" s="233"/>
      <c r="BG687" s="233"/>
      <c r="BH687" s="233"/>
      <c r="BI687" s="233"/>
      <c r="BJ687" s="233"/>
      <c r="BK687" s="233"/>
      <c r="BL687" s="233"/>
      <c r="BM687" s="233"/>
      <c r="BN687" s="233"/>
      <c r="BO687" s="233"/>
      <c r="BP687" s="233"/>
      <c r="BQ687" s="233"/>
      <c r="BR687" s="233"/>
      <c r="BS687" s="233"/>
      <c r="BT687" s="233"/>
      <c r="BU687" s="233"/>
      <c r="BV687" s="233"/>
      <c r="BW687" s="233"/>
      <c r="BX687" s="233"/>
      <c r="BY687" s="233"/>
      <c r="BZ687" s="233"/>
      <c r="CA687" s="233"/>
    </row>
    <row r="688" spans="43:79" x14ac:dyDescent="0.25">
      <c r="AQ688" s="233"/>
      <c r="AR688" s="233"/>
      <c r="AS688" s="233"/>
      <c r="AT688" s="233"/>
      <c r="AU688" s="233"/>
      <c r="AV688" s="233"/>
      <c r="AW688" s="233"/>
      <c r="AX688" s="233"/>
      <c r="AY688" s="233"/>
      <c r="AZ688" s="233"/>
      <c r="BA688" s="233"/>
      <c r="BB688" s="233"/>
      <c r="BC688" s="233"/>
      <c r="BD688" s="233"/>
      <c r="BE688" s="233"/>
      <c r="BF688" s="233"/>
      <c r="BG688" s="233"/>
      <c r="BH688" s="233"/>
      <c r="BI688" s="233"/>
      <c r="BJ688" s="233"/>
      <c r="BK688" s="233"/>
      <c r="BL688" s="233"/>
      <c r="BM688" s="233"/>
      <c r="BN688" s="233"/>
      <c r="BO688" s="233"/>
      <c r="BP688" s="233"/>
      <c r="BQ688" s="233"/>
      <c r="BR688" s="233"/>
      <c r="BS688" s="233"/>
      <c r="BT688" s="233"/>
      <c r="BU688" s="233"/>
      <c r="BV688" s="233"/>
      <c r="BW688" s="233"/>
      <c r="BX688" s="233"/>
      <c r="BY688" s="233"/>
      <c r="BZ688" s="233"/>
      <c r="CA688" s="233"/>
    </row>
    <row r="689" spans="43:79" x14ac:dyDescent="0.25">
      <c r="AQ689" s="233"/>
      <c r="AR689" s="233"/>
      <c r="AS689" s="233"/>
      <c r="AT689" s="233"/>
      <c r="AU689" s="233"/>
      <c r="AV689" s="233"/>
      <c r="AW689" s="233"/>
      <c r="AX689" s="233"/>
      <c r="AY689" s="233"/>
      <c r="AZ689" s="233"/>
      <c r="BA689" s="233"/>
      <c r="BB689" s="233"/>
      <c r="BC689" s="233"/>
      <c r="BD689" s="233"/>
      <c r="BE689" s="233"/>
      <c r="BF689" s="233"/>
      <c r="BG689" s="233"/>
      <c r="BH689" s="233"/>
      <c r="BI689" s="233"/>
      <c r="BJ689" s="233"/>
      <c r="BK689" s="233"/>
      <c r="BL689" s="233"/>
      <c r="BM689" s="233"/>
      <c r="BN689" s="233"/>
      <c r="BO689" s="233"/>
      <c r="BP689" s="233"/>
      <c r="BQ689" s="233"/>
      <c r="BR689" s="233"/>
      <c r="BS689" s="233"/>
      <c r="BT689" s="233"/>
      <c r="BU689" s="233"/>
      <c r="BV689" s="233"/>
      <c r="BW689" s="233"/>
      <c r="BX689" s="233"/>
      <c r="BY689" s="233"/>
      <c r="BZ689" s="233"/>
      <c r="CA689" s="233"/>
    </row>
    <row r="690" spans="43:79" x14ac:dyDescent="0.25">
      <c r="AQ690" s="233"/>
      <c r="AR690" s="233"/>
      <c r="AS690" s="233"/>
      <c r="AT690" s="233"/>
      <c r="AU690" s="233"/>
      <c r="AV690" s="233"/>
      <c r="AW690" s="233"/>
      <c r="AX690" s="233"/>
      <c r="AY690" s="233"/>
      <c r="AZ690" s="233"/>
      <c r="BA690" s="233"/>
      <c r="BB690" s="233"/>
      <c r="BC690" s="233"/>
      <c r="BD690" s="233"/>
      <c r="BE690" s="233"/>
      <c r="BF690" s="233"/>
      <c r="BG690" s="233"/>
      <c r="BH690" s="233"/>
      <c r="BI690" s="233"/>
      <c r="BJ690" s="233"/>
      <c r="BK690" s="233"/>
      <c r="BL690" s="233"/>
      <c r="BM690" s="233"/>
      <c r="BN690" s="233"/>
      <c r="BO690" s="233"/>
      <c r="BP690" s="233"/>
      <c r="BQ690" s="233"/>
      <c r="BR690" s="233"/>
      <c r="BS690" s="233"/>
      <c r="BT690" s="233"/>
      <c r="BU690" s="233"/>
      <c r="BV690" s="233"/>
      <c r="BW690" s="233"/>
      <c r="BX690" s="233"/>
      <c r="BY690" s="233"/>
      <c r="BZ690" s="233"/>
      <c r="CA690" s="233"/>
    </row>
    <row r="691" spans="43:79" x14ac:dyDescent="0.25">
      <c r="AQ691" s="233"/>
      <c r="AR691" s="233"/>
      <c r="AS691" s="233"/>
      <c r="AT691" s="233"/>
      <c r="AU691" s="233"/>
      <c r="AV691" s="233"/>
      <c r="AW691" s="233"/>
      <c r="AX691" s="233"/>
      <c r="AY691" s="233"/>
      <c r="AZ691" s="233"/>
      <c r="BA691" s="233"/>
      <c r="BB691" s="233"/>
      <c r="BC691" s="233"/>
      <c r="BD691" s="233"/>
      <c r="BE691" s="233"/>
      <c r="BF691" s="233"/>
      <c r="BG691" s="233"/>
      <c r="BH691" s="233"/>
      <c r="BI691" s="233"/>
      <c r="BJ691" s="233"/>
      <c r="BK691" s="233"/>
      <c r="BL691" s="233"/>
      <c r="BM691" s="233"/>
      <c r="BN691" s="233"/>
      <c r="BO691" s="233"/>
      <c r="BP691" s="233"/>
      <c r="BQ691" s="233"/>
      <c r="BR691" s="233"/>
      <c r="BS691" s="233"/>
      <c r="BT691" s="233"/>
      <c r="BU691" s="233"/>
      <c r="BV691" s="233"/>
      <c r="BW691" s="233"/>
      <c r="BX691" s="233"/>
      <c r="BY691" s="233"/>
      <c r="BZ691" s="233"/>
      <c r="CA691" s="233"/>
    </row>
    <row r="692" spans="43:79" ht="15" customHeight="1" x14ac:dyDescent="0.25">
      <c r="AQ692" s="233"/>
      <c r="AR692" s="233"/>
      <c r="AS692" s="233"/>
      <c r="AT692" s="233"/>
      <c r="AU692" s="233"/>
      <c r="AV692" s="233"/>
      <c r="AW692" s="233"/>
      <c r="AX692" s="233"/>
      <c r="AY692" s="233"/>
      <c r="AZ692" s="233"/>
      <c r="BA692" s="233"/>
      <c r="BB692" s="233"/>
      <c r="BC692" s="233"/>
      <c r="BD692" s="233"/>
      <c r="BE692" s="233"/>
      <c r="BF692" s="233"/>
      <c r="BG692" s="233"/>
      <c r="BH692" s="233"/>
      <c r="BI692" s="233"/>
      <c r="BJ692" s="233"/>
      <c r="BK692" s="233"/>
      <c r="BL692" s="233"/>
      <c r="BM692" s="233"/>
      <c r="BN692" s="233"/>
      <c r="BO692" s="233"/>
      <c r="BP692" s="233"/>
      <c r="BQ692" s="233"/>
      <c r="BR692" s="233"/>
      <c r="BS692" s="233"/>
      <c r="BT692" s="233"/>
      <c r="BU692" s="233"/>
      <c r="BV692" s="233"/>
      <c r="BW692" s="233"/>
      <c r="BX692" s="233"/>
      <c r="BY692" s="233"/>
      <c r="BZ692" s="233"/>
      <c r="CA692" s="233"/>
    </row>
    <row r="693" spans="43:79" ht="15" customHeight="1" x14ac:dyDescent="0.25">
      <c r="AQ693" s="233"/>
      <c r="AR693" s="233"/>
      <c r="AS693" s="233"/>
      <c r="AT693" s="233"/>
      <c r="AU693" s="233"/>
      <c r="AV693" s="233"/>
      <c r="AW693" s="233"/>
      <c r="AX693" s="233"/>
      <c r="AY693" s="233"/>
      <c r="AZ693" s="233"/>
      <c r="BA693" s="233"/>
      <c r="BB693" s="233"/>
      <c r="BC693" s="233"/>
      <c r="BD693" s="233"/>
      <c r="BE693" s="233"/>
      <c r="BF693" s="233"/>
      <c r="BG693" s="233"/>
      <c r="BH693" s="233"/>
      <c r="BI693" s="233"/>
      <c r="BJ693" s="233"/>
      <c r="BK693" s="233"/>
      <c r="BL693" s="233"/>
      <c r="BM693" s="233"/>
      <c r="BN693" s="233"/>
      <c r="BO693" s="233"/>
      <c r="BP693" s="233"/>
      <c r="BQ693" s="233"/>
      <c r="BR693" s="233"/>
      <c r="BS693" s="233"/>
      <c r="BT693" s="233"/>
      <c r="BU693" s="233"/>
      <c r="BV693" s="233"/>
      <c r="BW693" s="233"/>
      <c r="BX693" s="233"/>
      <c r="BY693" s="233"/>
      <c r="BZ693" s="233"/>
      <c r="CA693" s="233"/>
    </row>
    <row r="694" spans="43:79" x14ac:dyDescent="0.25">
      <c r="AQ694" s="233"/>
      <c r="AR694" s="233"/>
      <c r="AS694" s="233"/>
      <c r="AT694" s="233"/>
      <c r="AU694" s="233"/>
      <c r="AV694" s="233"/>
      <c r="AW694" s="233"/>
      <c r="AX694" s="233"/>
      <c r="AY694" s="233"/>
      <c r="AZ694" s="233"/>
      <c r="BA694" s="233"/>
      <c r="BB694" s="233"/>
      <c r="BC694" s="233"/>
      <c r="BD694" s="233"/>
      <c r="BE694" s="233"/>
      <c r="BF694" s="233"/>
      <c r="BG694" s="233"/>
      <c r="BH694" s="233"/>
      <c r="BI694" s="233"/>
      <c r="BJ694" s="233"/>
      <c r="BK694" s="233"/>
      <c r="BL694" s="233"/>
      <c r="BM694" s="233"/>
      <c r="BN694" s="233"/>
      <c r="BO694" s="233"/>
      <c r="BP694" s="233"/>
      <c r="BQ694" s="233"/>
      <c r="BR694" s="233"/>
      <c r="BS694" s="233"/>
      <c r="BT694" s="233"/>
      <c r="BU694" s="233"/>
      <c r="BV694" s="233"/>
      <c r="BW694" s="233"/>
      <c r="BX694" s="233"/>
      <c r="BY694" s="233"/>
      <c r="BZ694" s="233"/>
      <c r="CA694" s="233"/>
    </row>
    <row r="695" spans="43:79" x14ac:dyDescent="0.25">
      <c r="AQ695" s="233"/>
      <c r="AR695" s="233"/>
      <c r="AS695" s="233"/>
      <c r="AT695" s="233"/>
      <c r="AU695" s="233"/>
      <c r="AV695" s="233"/>
      <c r="AW695" s="233"/>
      <c r="AX695" s="233"/>
      <c r="AY695" s="233"/>
      <c r="AZ695" s="233"/>
      <c r="BA695" s="233"/>
      <c r="BB695" s="233"/>
      <c r="BC695" s="233"/>
      <c r="BD695" s="233"/>
      <c r="BE695" s="233"/>
      <c r="BF695" s="233"/>
      <c r="BG695" s="233"/>
      <c r="BH695" s="233"/>
      <c r="BI695" s="233"/>
      <c r="BJ695" s="233"/>
      <c r="BK695" s="233"/>
      <c r="BL695" s="233"/>
      <c r="BM695" s="233"/>
      <c r="BN695" s="233"/>
      <c r="BO695" s="233"/>
      <c r="BP695" s="233"/>
      <c r="BQ695" s="233"/>
      <c r="BR695" s="233"/>
      <c r="BS695" s="233"/>
      <c r="BT695" s="233"/>
      <c r="BU695" s="233"/>
      <c r="BV695" s="233"/>
      <c r="BW695" s="233"/>
      <c r="BX695" s="233"/>
      <c r="BY695" s="233"/>
      <c r="BZ695" s="233"/>
      <c r="CA695" s="233"/>
    </row>
    <row r="696" spans="43:79" x14ac:dyDescent="0.25">
      <c r="AQ696" s="233"/>
      <c r="AR696" s="233"/>
      <c r="AS696" s="233"/>
      <c r="AT696" s="233"/>
      <c r="AU696" s="233"/>
      <c r="AV696" s="233"/>
      <c r="AW696" s="233"/>
      <c r="AX696" s="233"/>
      <c r="AY696" s="233"/>
      <c r="AZ696" s="233"/>
      <c r="BA696" s="233"/>
      <c r="BB696" s="233"/>
      <c r="BC696" s="233"/>
      <c r="BD696" s="233"/>
      <c r="BE696" s="233"/>
      <c r="BF696" s="233"/>
      <c r="BG696" s="233"/>
      <c r="BH696" s="233"/>
      <c r="BI696" s="233"/>
      <c r="BJ696" s="233"/>
      <c r="BK696" s="233"/>
      <c r="BL696" s="233"/>
      <c r="BM696" s="233"/>
      <c r="BN696" s="233"/>
      <c r="BO696" s="233"/>
      <c r="BP696" s="233"/>
      <c r="BQ696" s="233"/>
      <c r="BR696" s="233"/>
      <c r="BS696" s="233"/>
      <c r="BT696" s="233"/>
      <c r="BU696" s="233"/>
      <c r="BV696" s="233"/>
      <c r="BW696" s="233"/>
      <c r="BX696" s="233"/>
      <c r="BY696" s="233"/>
      <c r="BZ696" s="233"/>
      <c r="CA696" s="233"/>
    </row>
    <row r="697" spans="43:79" x14ac:dyDescent="0.25">
      <c r="AQ697" s="233"/>
      <c r="AR697" s="233"/>
      <c r="AS697" s="233"/>
      <c r="AT697" s="233"/>
      <c r="AU697" s="233"/>
      <c r="AV697" s="233"/>
      <c r="AW697" s="233"/>
      <c r="AX697" s="233"/>
      <c r="AY697" s="233"/>
      <c r="AZ697" s="233"/>
      <c r="BA697" s="233"/>
      <c r="BB697" s="233"/>
      <c r="BC697" s="233"/>
      <c r="BD697" s="233"/>
      <c r="BE697" s="233"/>
      <c r="BF697" s="233"/>
      <c r="BG697" s="233"/>
      <c r="BH697" s="233"/>
      <c r="BI697" s="233"/>
      <c r="BJ697" s="233"/>
      <c r="BK697" s="233"/>
      <c r="BL697" s="233"/>
      <c r="BM697" s="233"/>
      <c r="BN697" s="233"/>
      <c r="BO697" s="233"/>
      <c r="BP697" s="233"/>
      <c r="BQ697" s="233"/>
      <c r="BR697" s="233"/>
      <c r="BS697" s="233"/>
      <c r="BT697" s="233"/>
      <c r="BU697" s="233"/>
      <c r="BV697" s="233"/>
      <c r="BW697" s="233"/>
      <c r="BX697" s="233"/>
      <c r="BY697" s="233"/>
      <c r="BZ697" s="233"/>
      <c r="CA697" s="233"/>
    </row>
    <row r="698" spans="43:79" x14ac:dyDescent="0.25">
      <c r="AQ698" s="233"/>
      <c r="AR698" s="233"/>
      <c r="AS698" s="233"/>
      <c r="AT698" s="233"/>
      <c r="AU698" s="233"/>
      <c r="AV698" s="233"/>
      <c r="AW698" s="233"/>
      <c r="AX698" s="233"/>
      <c r="AY698" s="233"/>
      <c r="AZ698" s="233"/>
      <c r="BA698" s="233"/>
      <c r="BB698" s="233"/>
      <c r="BC698" s="233"/>
      <c r="BD698" s="233"/>
      <c r="BE698" s="233"/>
      <c r="BF698" s="233"/>
      <c r="BG698" s="233"/>
      <c r="BH698" s="233"/>
      <c r="BI698" s="233"/>
      <c r="BJ698" s="233"/>
      <c r="BK698" s="233"/>
      <c r="BL698" s="233"/>
      <c r="BM698" s="233"/>
      <c r="BN698" s="233"/>
      <c r="BO698" s="233"/>
      <c r="BP698" s="233"/>
      <c r="BQ698" s="233"/>
      <c r="BR698" s="233"/>
      <c r="BS698" s="233"/>
      <c r="BT698" s="233"/>
      <c r="BU698" s="233"/>
      <c r="BV698" s="233"/>
      <c r="BW698" s="233"/>
      <c r="BX698" s="233"/>
      <c r="BY698" s="233"/>
      <c r="BZ698" s="233"/>
      <c r="CA698" s="233"/>
    </row>
    <row r="699" spans="43:79" x14ac:dyDescent="0.25">
      <c r="AQ699" s="233"/>
      <c r="AR699" s="233"/>
      <c r="AS699" s="233"/>
      <c r="AT699" s="233"/>
      <c r="AU699" s="233"/>
      <c r="AV699" s="233"/>
      <c r="AW699" s="233"/>
      <c r="AX699" s="233"/>
      <c r="AY699" s="233"/>
      <c r="AZ699" s="233"/>
      <c r="BA699" s="233"/>
      <c r="BB699" s="233"/>
      <c r="BC699" s="233"/>
      <c r="BD699" s="233"/>
      <c r="BE699" s="233"/>
      <c r="BF699" s="233"/>
      <c r="BG699" s="233"/>
      <c r="BH699" s="233"/>
      <c r="BI699" s="233"/>
      <c r="BJ699" s="233"/>
      <c r="BK699" s="233"/>
      <c r="BL699" s="233"/>
      <c r="BM699" s="233"/>
      <c r="BN699" s="233"/>
      <c r="BO699" s="233"/>
      <c r="BP699" s="233"/>
      <c r="BQ699" s="233"/>
      <c r="BR699" s="233"/>
      <c r="BS699" s="233"/>
      <c r="BT699" s="233"/>
      <c r="BU699" s="233"/>
      <c r="BV699" s="233"/>
      <c r="BW699" s="233"/>
      <c r="BX699" s="233"/>
      <c r="BY699" s="233"/>
      <c r="BZ699" s="233"/>
      <c r="CA699" s="233"/>
    </row>
    <row r="700" spans="43:79" x14ac:dyDescent="0.25">
      <c r="AQ700" s="233"/>
      <c r="AR700" s="233"/>
      <c r="AS700" s="233"/>
      <c r="AT700" s="233"/>
      <c r="AU700" s="233"/>
      <c r="AV700" s="233"/>
      <c r="AW700" s="233"/>
      <c r="AX700" s="233"/>
      <c r="AY700" s="233"/>
      <c r="AZ700" s="233"/>
      <c r="BA700" s="233"/>
      <c r="BB700" s="233"/>
      <c r="BC700" s="233"/>
      <c r="BD700" s="233"/>
      <c r="BE700" s="233"/>
      <c r="BF700" s="233"/>
      <c r="BG700" s="233"/>
      <c r="BH700" s="233"/>
      <c r="BI700" s="233"/>
      <c r="BJ700" s="233"/>
      <c r="BK700" s="233"/>
      <c r="BL700" s="233"/>
      <c r="BM700" s="233"/>
      <c r="BN700" s="233"/>
      <c r="BO700" s="233"/>
      <c r="BP700" s="233"/>
      <c r="BQ700" s="233"/>
      <c r="BR700" s="233"/>
      <c r="BS700" s="233"/>
      <c r="BT700" s="233"/>
      <c r="BU700" s="233"/>
      <c r="BV700" s="233"/>
      <c r="BW700" s="233"/>
      <c r="BX700" s="233"/>
      <c r="BY700" s="233"/>
      <c r="BZ700" s="233"/>
      <c r="CA700" s="233"/>
    </row>
    <row r="701" spans="43:79" x14ac:dyDescent="0.25">
      <c r="AQ701" s="233"/>
      <c r="AR701" s="233"/>
      <c r="AS701" s="233"/>
      <c r="AT701" s="233"/>
      <c r="AU701" s="233"/>
      <c r="AV701" s="233"/>
      <c r="AW701" s="233"/>
      <c r="AX701" s="233"/>
      <c r="AY701" s="233"/>
      <c r="AZ701" s="233"/>
      <c r="BA701" s="233"/>
      <c r="BB701" s="233"/>
      <c r="BC701" s="233"/>
      <c r="BD701" s="233"/>
      <c r="BE701" s="233"/>
      <c r="BF701" s="233"/>
      <c r="BG701" s="233"/>
      <c r="BH701" s="233"/>
      <c r="BI701" s="233"/>
      <c r="BJ701" s="233"/>
      <c r="BK701" s="233"/>
      <c r="BL701" s="233"/>
      <c r="BM701" s="233"/>
      <c r="BN701" s="233"/>
      <c r="BO701" s="233"/>
      <c r="BP701" s="233"/>
      <c r="BQ701" s="233"/>
      <c r="BR701" s="233"/>
      <c r="BS701" s="233"/>
      <c r="BT701" s="233"/>
      <c r="BU701" s="233"/>
      <c r="BV701" s="233"/>
      <c r="BW701" s="233"/>
      <c r="BX701" s="233"/>
      <c r="BY701" s="233"/>
      <c r="BZ701" s="233"/>
      <c r="CA701" s="233"/>
    </row>
    <row r="702" spans="43:79" ht="15" customHeight="1" x14ac:dyDescent="0.25">
      <c r="AQ702" s="233"/>
      <c r="AR702" s="233"/>
      <c r="AS702" s="233"/>
      <c r="AT702" s="233"/>
      <c r="AU702" s="233"/>
      <c r="AV702" s="233"/>
      <c r="AW702" s="233"/>
      <c r="AX702" s="233"/>
      <c r="AY702" s="233"/>
      <c r="AZ702" s="233"/>
      <c r="BA702" s="233"/>
      <c r="BB702" s="233"/>
      <c r="BC702" s="233"/>
      <c r="BD702" s="233"/>
      <c r="BE702" s="233"/>
      <c r="BF702" s="233"/>
      <c r="BG702" s="233"/>
      <c r="BH702" s="233"/>
      <c r="BI702" s="233"/>
      <c r="BJ702" s="233"/>
      <c r="BK702" s="233"/>
      <c r="BL702" s="233"/>
      <c r="BM702" s="233"/>
      <c r="BN702" s="233"/>
      <c r="BO702" s="233"/>
      <c r="BP702" s="233"/>
      <c r="BQ702" s="233"/>
      <c r="BR702" s="233"/>
      <c r="BS702" s="233"/>
      <c r="BT702" s="233"/>
      <c r="BU702" s="233"/>
      <c r="BV702" s="233"/>
      <c r="BW702" s="233"/>
      <c r="BX702" s="233"/>
      <c r="BY702" s="233"/>
      <c r="BZ702" s="233"/>
      <c r="CA702" s="233"/>
    </row>
    <row r="703" spans="43:79" x14ac:dyDescent="0.25">
      <c r="AQ703" s="233"/>
      <c r="AR703" s="233"/>
      <c r="AS703" s="233"/>
      <c r="AT703" s="233"/>
      <c r="AU703" s="233"/>
      <c r="AV703" s="233"/>
      <c r="AW703" s="233"/>
      <c r="AX703" s="233"/>
      <c r="AY703" s="233"/>
      <c r="AZ703" s="233"/>
      <c r="BA703" s="233"/>
      <c r="BB703" s="233"/>
      <c r="BC703" s="233"/>
      <c r="BD703" s="233"/>
      <c r="BE703" s="233"/>
      <c r="BF703" s="233"/>
      <c r="BG703" s="233"/>
      <c r="BH703" s="233"/>
      <c r="BI703" s="233"/>
      <c r="BJ703" s="233"/>
      <c r="BK703" s="233"/>
      <c r="BL703" s="233"/>
      <c r="BM703" s="233"/>
      <c r="BN703" s="233"/>
      <c r="BO703" s="233"/>
      <c r="BP703" s="233"/>
      <c r="BQ703" s="233"/>
      <c r="BR703" s="233"/>
      <c r="BS703" s="233"/>
      <c r="BT703" s="233"/>
      <c r="BU703" s="233"/>
      <c r="BV703" s="233"/>
      <c r="BW703" s="233"/>
      <c r="BX703" s="233"/>
      <c r="BY703" s="233"/>
      <c r="BZ703" s="233"/>
      <c r="CA703" s="233"/>
    </row>
    <row r="704" spans="43:79" x14ac:dyDescent="0.25">
      <c r="AQ704" s="233"/>
      <c r="AR704" s="233"/>
      <c r="AS704" s="233"/>
      <c r="AT704" s="233"/>
      <c r="AU704" s="233"/>
      <c r="AV704" s="233"/>
      <c r="AW704" s="233"/>
      <c r="AX704" s="233"/>
      <c r="AY704" s="233"/>
      <c r="AZ704" s="233"/>
      <c r="BA704" s="233"/>
      <c r="BB704" s="233"/>
      <c r="BC704" s="233"/>
      <c r="BD704" s="233"/>
      <c r="BE704" s="233"/>
      <c r="BF704" s="233"/>
      <c r="BG704" s="233"/>
      <c r="BH704" s="233"/>
      <c r="BI704" s="233"/>
      <c r="BJ704" s="233"/>
      <c r="BK704" s="233"/>
      <c r="BL704" s="233"/>
      <c r="BM704" s="233"/>
      <c r="BN704" s="233"/>
      <c r="BO704" s="233"/>
      <c r="BP704" s="233"/>
      <c r="BQ704" s="233"/>
      <c r="BR704" s="233"/>
      <c r="BS704" s="233"/>
      <c r="BT704" s="233"/>
      <c r="BU704" s="233"/>
      <c r="BV704" s="233"/>
      <c r="BW704" s="233"/>
      <c r="BX704" s="233"/>
      <c r="BY704" s="233"/>
      <c r="BZ704" s="233"/>
      <c r="CA704" s="233"/>
    </row>
    <row r="705" spans="43:79" x14ac:dyDescent="0.25">
      <c r="AQ705" s="233"/>
      <c r="AR705" s="233"/>
      <c r="AS705" s="233"/>
      <c r="AT705" s="233"/>
      <c r="AU705" s="233"/>
      <c r="AV705" s="233"/>
      <c r="AW705" s="233"/>
      <c r="AX705" s="233"/>
      <c r="AY705" s="233"/>
      <c r="AZ705" s="233"/>
      <c r="BA705" s="233"/>
      <c r="BB705" s="233"/>
      <c r="BC705" s="233"/>
      <c r="BD705" s="233"/>
      <c r="BE705" s="233"/>
      <c r="BF705" s="233"/>
      <c r="BG705" s="233"/>
      <c r="BH705" s="233"/>
      <c r="BI705" s="233"/>
      <c r="BJ705" s="233"/>
      <c r="BK705" s="233"/>
      <c r="BL705" s="233"/>
      <c r="BM705" s="233"/>
      <c r="BN705" s="233"/>
      <c r="BO705" s="233"/>
      <c r="BP705" s="233"/>
      <c r="BQ705" s="233"/>
      <c r="BR705" s="233"/>
      <c r="BS705" s="233"/>
      <c r="BT705" s="233"/>
      <c r="BU705" s="233"/>
      <c r="BV705" s="233"/>
      <c r="BW705" s="233"/>
      <c r="BX705" s="233"/>
      <c r="BY705" s="233"/>
      <c r="BZ705" s="233"/>
      <c r="CA705" s="233"/>
    </row>
    <row r="706" spans="43:79" x14ac:dyDescent="0.25">
      <c r="AQ706" s="233"/>
      <c r="AR706" s="233"/>
      <c r="AS706" s="233"/>
      <c r="AT706" s="233"/>
      <c r="AU706" s="233"/>
      <c r="AV706" s="233"/>
      <c r="AW706" s="233"/>
      <c r="AX706" s="233"/>
      <c r="AY706" s="233"/>
      <c r="AZ706" s="233"/>
      <c r="BA706" s="233"/>
      <c r="BB706" s="233"/>
      <c r="BC706" s="233"/>
      <c r="BD706" s="233"/>
      <c r="BE706" s="233"/>
      <c r="BF706" s="233"/>
      <c r="BG706" s="233"/>
      <c r="BH706" s="233"/>
      <c r="BI706" s="233"/>
      <c r="BJ706" s="233"/>
      <c r="BK706" s="233"/>
      <c r="BL706" s="233"/>
      <c r="BM706" s="233"/>
      <c r="BN706" s="233"/>
      <c r="BO706" s="233"/>
      <c r="BP706" s="233"/>
      <c r="BQ706" s="233"/>
      <c r="BR706" s="233"/>
      <c r="BS706" s="233"/>
      <c r="BT706" s="233"/>
      <c r="BU706" s="233"/>
      <c r="BV706" s="233"/>
      <c r="BW706" s="233"/>
      <c r="BX706" s="233"/>
      <c r="BY706" s="233"/>
      <c r="BZ706" s="233"/>
      <c r="CA706" s="233"/>
    </row>
    <row r="707" spans="43:79" x14ac:dyDescent="0.25">
      <c r="AQ707" s="233"/>
      <c r="AR707" s="233"/>
      <c r="AS707" s="233"/>
      <c r="AT707" s="233"/>
      <c r="AU707" s="233"/>
      <c r="AV707" s="233"/>
      <c r="AW707" s="233"/>
      <c r="AX707" s="233"/>
      <c r="AY707" s="233"/>
      <c r="AZ707" s="233"/>
      <c r="BA707" s="233"/>
      <c r="BB707" s="233"/>
      <c r="BC707" s="233"/>
      <c r="BD707" s="233"/>
      <c r="BE707" s="233"/>
      <c r="BF707" s="233"/>
      <c r="BG707" s="233"/>
      <c r="BH707" s="233"/>
      <c r="BI707" s="233"/>
      <c r="BJ707" s="233"/>
      <c r="BK707" s="233"/>
      <c r="BL707" s="233"/>
      <c r="BM707" s="233"/>
      <c r="BN707" s="233"/>
      <c r="BO707" s="233"/>
      <c r="BP707" s="233"/>
      <c r="BQ707" s="233"/>
      <c r="BR707" s="233"/>
      <c r="BS707" s="233"/>
      <c r="BT707" s="233"/>
      <c r="BU707" s="233"/>
      <c r="BV707" s="233"/>
      <c r="BW707" s="233"/>
      <c r="BX707" s="233"/>
      <c r="BY707" s="233"/>
      <c r="BZ707" s="233"/>
      <c r="CA707" s="233"/>
    </row>
    <row r="708" spans="43:79" x14ac:dyDescent="0.25">
      <c r="AQ708" s="233"/>
      <c r="AR708" s="233"/>
      <c r="AS708" s="233"/>
      <c r="AT708" s="233"/>
      <c r="AU708" s="233"/>
      <c r="AV708" s="233"/>
      <c r="AW708" s="233"/>
      <c r="AX708" s="233"/>
      <c r="AY708" s="233"/>
      <c r="AZ708" s="233"/>
      <c r="BA708" s="233"/>
      <c r="BB708" s="233"/>
      <c r="BC708" s="233"/>
      <c r="BD708" s="233"/>
      <c r="BE708" s="233"/>
      <c r="BF708" s="233"/>
      <c r="BG708" s="233"/>
      <c r="BH708" s="233"/>
      <c r="BI708" s="233"/>
      <c r="BJ708" s="233"/>
      <c r="BK708" s="233"/>
      <c r="BL708" s="233"/>
      <c r="BM708" s="233"/>
      <c r="BN708" s="233"/>
      <c r="BO708" s="233"/>
      <c r="BP708" s="233"/>
      <c r="BQ708" s="233"/>
      <c r="BR708" s="233"/>
      <c r="BS708" s="233"/>
      <c r="BT708" s="233"/>
      <c r="BU708" s="233"/>
      <c r="BV708" s="233"/>
      <c r="BW708" s="233"/>
      <c r="BX708" s="233"/>
      <c r="BY708" s="233"/>
      <c r="BZ708" s="233"/>
      <c r="CA708" s="233"/>
    </row>
    <row r="709" spans="43:79" x14ac:dyDescent="0.25">
      <c r="AQ709" s="233"/>
      <c r="AR709" s="233"/>
      <c r="AS709" s="233"/>
      <c r="AT709" s="233"/>
      <c r="AU709" s="233"/>
      <c r="AV709" s="233"/>
      <c r="AW709" s="233"/>
      <c r="AX709" s="233"/>
      <c r="AY709" s="233"/>
      <c r="AZ709" s="233"/>
      <c r="BA709" s="233"/>
      <c r="BB709" s="233"/>
      <c r="BC709" s="233"/>
      <c r="BD709" s="233"/>
      <c r="BE709" s="233"/>
      <c r="BF709" s="233"/>
      <c r="BG709" s="233"/>
      <c r="BH709" s="233"/>
      <c r="BI709" s="233"/>
      <c r="BJ709" s="233"/>
      <c r="BK709" s="233"/>
      <c r="BL709" s="233"/>
      <c r="BM709" s="233"/>
      <c r="BN709" s="233"/>
      <c r="BO709" s="233"/>
      <c r="BP709" s="233"/>
      <c r="BQ709" s="233"/>
      <c r="BR709" s="233"/>
      <c r="BS709" s="233"/>
      <c r="BT709" s="233"/>
      <c r="BU709" s="233"/>
      <c r="BV709" s="233"/>
      <c r="BW709" s="233"/>
      <c r="BX709" s="233"/>
      <c r="BY709" s="233"/>
      <c r="BZ709" s="233"/>
      <c r="CA709" s="233"/>
    </row>
    <row r="710" spans="43:79" x14ac:dyDescent="0.25">
      <c r="AQ710" s="233"/>
      <c r="AR710" s="233"/>
      <c r="AS710" s="233"/>
      <c r="AT710" s="233"/>
      <c r="AU710" s="233"/>
      <c r="AV710" s="233"/>
      <c r="AW710" s="233"/>
      <c r="AX710" s="233"/>
      <c r="AY710" s="233"/>
      <c r="AZ710" s="233"/>
      <c r="BA710" s="233"/>
      <c r="BB710" s="233"/>
      <c r="BC710" s="233"/>
      <c r="BD710" s="233"/>
      <c r="BE710" s="233"/>
      <c r="BF710" s="233"/>
      <c r="BG710" s="233"/>
      <c r="BH710" s="233"/>
      <c r="BI710" s="233"/>
      <c r="BJ710" s="233"/>
      <c r="BK710" s="233"/>
      <c r="BL710" s="233"/>
      <c r="BM710" s="233"/>
      <c r="BN710" s="233"/>
      <c r="BO710" s="233"/>
      <c r="BP710" s="233"/>
      <c r="BQ710" s="233"/>
      <c r="BR710" s="233"/>
      <c r="BS710" s="233"/>
      <c r="BT710" s="233"/>
      <c r="BU710" s="233"/>
      <c r="BV710" s="233"/>
      <c r="BW710" s="233"/>
      <c r="BX710" s="233"/>
      <c r="BY710" s="233"/>
      <c r="BZ710" s="233"/>
      <c r="CA710" s="233"/>
    </row>
    <row r="711" spans="43:79" x14ac:dyDescent="0.25">
      <c r="AQ711" s="233"/>
      <c r="AR711" s="233"/>
      <c r="AS711" s="233"/>
      <c r="AT711" s="233"/>
      <c r="AU711" s="233"/>
      <c r="AV711" s="233"/>
      <c r="AW711" s="233"/>
      <c r="AX711" s="233"/>
      <c r="AY711" s="233"/>
      <c r="AZ711" s="233"/>
      <c r="BA711" s="233"/>
      <c r="BB711" s="233"/>
      <c r="BC711" s="233"/>
      <c r="BD711" s="233"/>
      <c r="BE711" s="233"/>
      <c r="BF711" s="233"/>
      <c r="BG711" s="233"/>
      <c r="BH711" s="233"/>
      <c r="BI711" s="233"/>
      <c r="BJ711" s="233"/>
      <c r="BK711" s="233"/>
      <c r="BL711" s="233"/>
      <c r="BM711" s="233"/>
      <c r="BN711" s="233"/>
      <c r="BO711" s="233"/>
      <c r="BP711" s="233"/>
      <c r="BQ711" s="233"/>
      <c r="BR711" s="233"/>
      <c r="BS711" s="233"/>
      <c r="BT711" s="233"/>
      <c r="BU711" s="233"/>
      <c r="BV711" s="233"/>
      <c r="BW711" s="233"/>
      <c r="BX711" s="233"/>
      <c r="BY711" s="233"/>
      <c r="BZ711" s="233"/>
      <c r="CA711" s="233"/>
    </row>
    <row r="712" spans="43:79" x14ac:dyDescent="0.25">
      <c r="AQ712" s="233"/>
      <c r="AR712" s="233"/>
      <c r="AS712" s="233"/>
      <c r="AT712" s="233"/>
      <c r="AU712" s="233"/>
      <c r="AV712" s="233"/>
      <c r="AW712" s="233"/>
      <c r="AX712" s="233"/>
      <c r="AY712" s="233"/>
      <c r="AZ712" s="233"/>
      <c r="BA712" s="233"/>
      <c r="BB712" s="233"/>
      <c r="BC712" s="233"/>
      <c r="BD712" s="233"/>
      <c r="BE712" s="233"/>
      <c r="BF712" s="233"/>
      <c r="BG712" s="233"/>
      <c r="BH712" s="233"/>
      <c r="BI712" s="233"/>
      <c r="BJ712" s="233"/>
      <c r="BK712" s="233"/>
      <c r="BL712" s="233"/>
      <c r="BM712" s="233"/>
      <c r="BN712" s="233"/>
      <c r="BO712" s="233"/>
      <c r="BP712" s="233"/>
      <c r="BQ712" s="233"/>
      <c r="BR712" s="233"/>
      <c r="BS712" s="233"/>
      <c r="BT712" s="233"/>
      <c r="BU712" s="233"/>
      <c r="BV712" s="233"/>
      <c r="BW712" s="233"/>
      <c r="BX712" s="233"/>
      <c r="BY712" s="233"/>
      <c r="BZ712" s="233"/>
      <c r="CA712" s="233"/>
    </row>
    <row r="713" spans="43:79" x14ac:dyDescent="0.25">
      <c r="AQ713" s="233"/>
      <c r="AR713" s="233"/>
      <c r="AS713" s="233"/>
      <c r="AT713" s="233"/>
      <c r="AU713" s="233"/>
      <c r="AV713" s="233"/>
      <c r="AW713" s="233"/>
      <c r="AX713" s="233"/>
      <c r="AY713" s="233"/>
      <c r="AZ713" s="233"/>
      <c r="BA713" s="233"/>
      <c r="BB713" s="233"/>
      <c r="BC713" s="233"/>
      <c r="BD713" s="233"/>
      <c r="BE713" s="233"/>
      <c r="BF713" s="233"/>
      <c r="BG713" s="233"/>
      <c r="BH713" s="233"/>
      <c r="BI713" s="233"/>
      <c r="BJ713" s="233"/>
      <c r="BK713" s="233"/>
      <c r="BL713" s="233"/>
      <c r="BM713" s="233"/>
      <c r="BN713" s="233"/>
      <c r="BO713" s="233"/>
      <c r="BP713" s="233"/>
      <c r="BQ713" s="233"/>
      <c r="BR713" s="233"/>
      <c r="BS713" s="233"/>
      <c r="BT713" s="233"/>
      <c r="BU713" s="233"/>
      <c r="BV713" s="233"/>
      <c r="BW713" s="233"/>
      <c r="BX713" s="233"/>
      <c r="BY713" s="233"/>
      <c r="BZ713" s="233"/>
      <c r="CA713" s="233"/>
    </row>
    <row r="714" spans="43:79" x14ac:dyDescent="0.25">
      <c r="AQ714" s="233"/>
      <c r="AR714" s="233"/>
      <c r="AS714" s="233"/>
      <c r="AT714" s="233"/>
      <c r="AU714" s="233"/>
      <c r="AV714" s="233"/>
      <c r="AW714" s="233"/>
      <c r="AX714" s="233"/>
      <c r="AY714" s="233"/>
      <c r="AZ714" s="233"/>
      <c r="BA714" s="233"/>
      <c r="BB714" s="233"/>
      <c r="BC714" s="233"/>
      <c r="BD714" s="233"/>
      <c r="BE714" s="233"/>
      <c r="BF714" s="233"/>
      <c r="BG714" s="233"/>
      <c r="BH714" s="233"/>
      <c r="BI714" s="233"/>
      <c r="BJ714" s="233"/>
      <c r="BK714" s="233"/>
      <c r="BL714" s="233"/>
      <c r="BM714" s="233"/>
      <c r="BN714" s="233"/>
      <c r="BO714" s="233"/>
      <c r="BP714" s="233"/>
      <c r="BQ714" s="233"/>
      <c r="BR714" s="233"/>
      <c r="BS714" s="233"/>
      <c r="BT714" s="233"/>
      <c r="BU714" s="233"/>
      <c r="BV714" s="233"/>
      <c r="BW714" s="233"/>
      <c r="BX714" s="233"/>
      <c r="BY714" s="233"/>
      <c r="BZ714" s="233"/>
      <c r="CA714" s="233"/>
    </row>
    <row r="715" spans="43:79" x14ac:dyDescent="0.25">
      <c r="AQ715" s="233"/>
      <c r="AR715" s="233"/>
      <c r="AS715" s="233"/>
      <c r="AT715" s="233"/>
      <c r="AU715" s="233"/>
      <c r="AV715" s="233"/>
      <c r="AW715" s="233"/>
      <c r="AX715" s="233"/>
      <c r="AY715" s="233"/>
      <c r="AZ715" s="233"/>
      <c r="BA715" s="233"/>
      <c r="BB715" s="233"/>
      <c r="BC715" s="233"/>
      <c r="BD715" s="233"/>
      <c r="BE715" s="233"/>
      <c r="BF715" s="233"/>
      <c r="BG715" s="233"/>
      <c r="BH715" s="233"/>
      <c r="BI715" s="233"/>
      <c r="BJ715" s="233"/>
      <c r="BK715" s="233"/>
      <c r="BL715" s="233"/>
      <c r="BM715" s="233"/>
      <c r="BN715" s="233"/>
      <c r="BO715" s="233"/>
      <c r="BP715" s="233"/>
      <c r="BQ715" s="233"/>
      <c r="BR715" s="233"/>
      <c r="BS715" s="233"/>
      <c r="BT715" s="233"/>
      <c r="BU715" s="233"/>
      <c r="BV715" s="233"/>
      <c r="BW715" s="233"/>
      <c r="BX715" s="233"/>
      <c r="BY715" s="233"/>
      <c r="BZ715" s="233"/>
      <c r="CA715" s="233"/>
    </row>
    <row r="716" spans="43:79" x14ac:dyDescent="0.25">
      <c r="AQ716" s="233"/>
      <c r="AR716" s="233"/>
      <c r="AS716" s="233"/>
      <c r="AT716" s="233"/>
      <c r="AU716" s="233"/>
      <c r="AV716" s="233"/>
      <c r="AW716" s="233"/>
      <c r="AX716" s="233"/>
      <c r="AY716" s="233"/>
      <c r="AZ716" s="233"/>
      <c r="BA716" s="233"/>
      <c r="BB716" s="233"/>
      <c r="BC716" s="233"/>
      <c r="BD716" s="233"/>
      <c r="BE716" s="233"/>
      <c r="BF716" s="233"/>
      <c r="BG716" s="233"/>
      <c r="BH716" s="233"/>
      <c r="BI716" s="233"/>
      <c r="BJ716" s="233"/>
      <c r="BK716" s="233"/>
      <c r="BL716" s="233"/>
      <c r="BM716" s="233"/>
      <c r="BN716" s="233"/>
      <c r="BO716" s="233"/>
      <c r="BP716" s="233"/>
      <c r="BQ716" s="233"/>
      <c r="BR716" s="233"/>
      <c r="BS716" s="233"/>
      <c r="BT716" s="233"/>
      <c r="BU716" s="233"/>
      <c r="BV716" s="233"/>
      <c r="BW716" s="233"/>
      <c r="BX716" s="233"/>
      <c r="BY716" s="233"/>
      <c r="BZ716" s="233"/>
      <c r="CA716" s="233"/>
    </row>
    <row r="717" spans="43:79" x14ac:dyDescent="0.25">
      <c r="AQ717" s="233"/>
      <c r="AR717" s="233"/>
      <c r="AS717" s="233"/>
      <c r="AT717" s="233"/>
      <c r="AU717" s="233"/>
      <c r="AV717" s="233"/>
      <c r="AW717" s="233"/>
      <c r="AX717" s="233"/>
      <c r="AY717" s="233"/>
      <c r="AZ717" s="233"/>
      <c r="BA717" s="233"/>
      <c r="BB717" s="233"/>
      <c r="BC717" s="233"/>
      <c r="BD717" s="233"/>
      <c r="BE717" s="233"/>
      <c r="BF717" s="233"/>
      <c r="BG717" s="233"/>
      <c r="BH717" s="233"/>
      <c r="BI717" s="233"/>
      <c r="BJ717" s="233"/>
      <c r="BK717" s="233"/>
      <c r="BL717" s="233"/>
      <c r="BM717" s="233"/>
      <c r="BN717" s="233"/>
      <c r="BO717" s="233"/>
      <c r="BP717" s="233"/>
      <c r="BQ717" s="233"/>
      <c r="BR717" s="233"/>
      <c r="BS717" s="233"/>
      <c r="BT717" s="233"/>
      <c r="BU717" s="233"/>
      <c r="BV717" s="233"/>
      <c r="BW717" s="233"/>
      <c r="BX717" s="233"/>
      <c r="BY717" s="233"/>
      <c r="BZ717" s="233"/>
      <c r="CA717" s="233"/>
    </row>
    <row r="718" spans="43:79" x14ac:dyDescent="0.25">
      <c r="AQ718" s="233"/>
      <c r="AR718" s="233"/>
      <c r="AS718" s="233"/>
      <c r="AT718" s="233"/>
      <c r="AU718" s="233"/>
      <c r="AV718" s="233"/>
      <c r="AW718" s="233"/>
      <c r="AX718" s="233"/>
      <c r="AY718" s="233"/>
      <c r="AZ718" s="233"/>
      <c r="BA718" s="233"/>
      <c r="BB718" s="233"/>
      <c r="BC718" s="233"/>
      <c r="BD718" s="233"/>
      <c r="BE718" s="233"/>
      <c r="BF718" s="233"/>
      <c r="BG718" s="233"/>
      <c r="BH718" s="233"/>
      <c r="BI718" s="233"/>
      <c r="BJ718" s="233"/>
      <c r="BK718" s="233"/>
      <c r="BL718" s="233"/>
      <c r="BM718" s="233"/>
      <c r="BN718" s="233"/>
      <c r="BO718" s="233"/>
      <c r="BP718" s="233"/>
      <c r="BQ718" s="233"/>
      <c r="BR718" s="233"/>
      <c r="BS718" s="233"/>
      <c r="BT718" s="233"/>
      <c r="BU718" s="233"/>
      <c r="BV718" s="233"/>
      <c r="BW718" s="233"/>
      <c r="BX718" s="233"/>
      <c r="BY718" s="233"/>
      <c r="BZ718" s="233"/>
      <c r="CA718" s="233"/>
    </row>
    <row r="719" spans="43:79" x14ac:dyDescent="0.25">
      <c r="AQ719" s="233"/>
      <c r="AR719" s="233"/>
      <c r="AS719" s="233"/>
      <c r="AT719" s="233"/>
      <c r="AU719" s="233"/>
      <c r="AV719" s="233"/>
      <c r="AW719" s="233"/>
      <c r="AX719" s="233"/>
      <c r="AY719" s="233"/>
      <c r="AZ719" s="233"/>
      <c r="BA719" s="233"/>
      <c r="BB719" s="233"/>
      <c r="BC719" s="233"/>
      <c r="BD719" s="233"/>
      <c r="BE719" s="233"/>
      <c r="BF719" s="233"/>
      <c r="BG719" s="233"/>
      <c r="BH719" s="233"/>
      <c r="BI719" s="233"/>
      <c r="BJ719" s="233"/>
      <c r="BK719" s="233"/>
      <c r="BL719" s="233"/>
      <c r="BM719" s="233"/>
      <c r="BN719" s="233"/>
      <c r="BO719" s="233"/>
      <c r="BP719" s="233"/>
      <c r="BQ719" s="233"/>
      <c r="BR719" s="233"/>
      <c r="BS719" s="233"/>
      <c r="BT719" s="233"/>
      <c r="BU719" s="233"/>
      <c r="BV719" s="233"/>
      <c r="BW719" s="233"/>
      <c r="BX719" s="233"/>
      <c r="BY719" s="233"/>
      <c r="BZ719" s="233"/>
      <c r="CA719" s="233"/>
    </row>
    <row r="720" spans="43:79" x14ac:dyDescent="0.25">
      <c r="AQ720" s="233"/>
      <c r="AR720" s="233"/>
      <c r="AS720" s="233"/>
      <c r="AT720" s="233"/>
      <c r="AU720" s="233"/>
      <c r="AV720" s="233"/>
      <c r="AW720" s="233"/>
      <c r="AX720" s="233"/>
      <c r="AY720" s="233"/>
      <c r="AZ720" s="233"/>
      <c r="BA720" s="233"/>
      <c r="BB720" s="233"/>
      <c r="BC720" s="233"/>
      <c r="BD720" s="233"/>
      <c r="BE720" s="233"/>
      <c r="BF720" s="233"/>
      <c r="BG720" s="233"/>
      <c r="BH720" s="233"/>
      <c r="BI720" s="233"/>
      <c r="BJ720" s="233"/>
      <c r="BK720" s="233"/>
      <c r="BL720" s="233"/>
      <c r="BM720" s="233"/>
      <c r="BN720" s="233"/>
      <c r="BO720" s="233"/>
      <c r="BP720" s="233"/>
      <c r="BQ720" s="233"/>
      <c r="BR720" s="233"/>
      <c r="BS720" s="233"/>
      <c r="BT720" s="233"/>
      <c r="BU720" s="233"/>
      <c r="BV720" s="233"/>
      <c r="BW720" s="233"/>
      <c r="BX720" s="233"/>
      <c r="BY720" s="233"/>
      <c r="BZ720" s="233"/>
      <c r="CA720" s="233"/>
    </row>
    <row r="721" spans="1:79" x14ac:dyDescent="0.25">
      <c r="AQ721" s="233"/>
      <c r="AR721" s="233"/>
      <c r="AS721" s="233"/>
      <c r="AT721" s="233"/>
      <c r="AU721" s="233"/>
      <c r="AV721" s="233"/>
      <c r="AW721" s="233"/>
      <c r="AX721" s="233"/>
      <c r="AY721" s="233"/>
      <c r="AZ721" s="233"/>
      <c r="BA721" s="233"/>
      <c r="BB721" s="233"/>
      <c r="BC721" s="233"/>
      <c r="BD721" s="233"/>
      <c r="BE721" s="233"/>
      <c r="BF721" s="233"/>
      <c r="BG721" s="233"/>
      <c r="BH721" s="233"/>
      <c r="BI721" s="233"/>
      <c r="BJ721" s="233"/>
      <c r="BK721" s="233"/>
      <c r="BL721" s="233"/>
      <c r="BM721" s="233"/>
      <c r="BN721" s="233"/>
      <c r="BO721" s="233"/>
      <c r="BP721" s="233"/>
      <c r="BQ721" s="233"/>
      <c r="BR721" s="233"/>
      <c r="BS721" s="233"/>
      <c r="BT721" s="233"/>
      <c r="BU721" s="233"/>
      <c r="BV721" s="233"/>
      <c r="BW721" s="233"/>
      <c r="BX721" s="233"/>
      <c r="BY721" s="233"/>
      <c r="BZ721" s="233"/>
      <c r="CA721" s="233"/>
    </row>
    <row r="722" spans="1:79" x14ac:dyDescent="0.25">
      <c r="AQ722" s="233"/>
      <c r="AR722" s="233"/>
      <c r="AS722" s="233"/>
      <c r="AT722" s="233"/>
      <c r="AU722" s="233"/>
      <c r="AV722" s="233"/>
      <c r="AW722" s="233"/>
      <c r="AX722" s="233"/>
      <c r="AY722" s="233"/>
      <c r="AZ722" s="233"/>
      <c r="BA722" s="233"/>
      <c r="BB722" s="233"/>
      <c r="BC722" s="233"/>
      <c r="BD722" s="233"/>
      <c r="BE722" s="233"/>
      <c r="BF722" s="233"/>
      <c r="BG722" s="233"/>
      <c r="BH722" s="233"/>
      <c r="BI722" s="233"/>
      <c r="BJ722" s="233"/>
      <c r="BK722" s="233"/>
      <c r="BL722" s="233"/>
      <c r="BM722" s="233"/>
      <c r="BN722" s="233"/>
      <c r="BO722" s="233"/>
      <c r="BP722" s="233"/>
      <c r="BQ722" s="233"/>
      <c r="BR722" s="233"/>
      <c r="BS722" s="233"/>
      <c r="BT722" s="233"/>
      <c r="BU722" s="233"/>
      <c r="BV722" s="233"/>
      <c r="BW722" s="233"/>
      <c r="BX722" s="233"/>
      <c r="BY722" s="233"/>
      <c r="BZ722" s="233"/>
      <c r="CA722" s="233"/>
    </row>
    <row r="723" spans="1:79" x14ac:dyDescent="0.25">
      <c r="AQ723" s="233"/>
      <c r="AR723" s="233"/>
      <c r="AS723" s="233"/>
      <c r="AT723" s="233"/>
      <c r="AU723" s="233"/>
      <c r="AV723" s="233"/>
      <c r="AW723" s="233"/>
      <c r="AX723" s="233"/>
      <c r="AY723" s="233"/>
      <c r="AZ723" s="233"/>
      <c r="BA723" s="233"/>
      <c r="BB723" s="233"/>
      <c r="BC723" s="233"/>
      <c r="BD723" s="233"/>
      <c r="BE723" s="233"/>
      <c r="BF723" s="233"/>
      <c r="BG723" s="233"/>
      <c r="BH723" s="233"/>
      <c r="BI723" s="233"/>
      <c r="BJ723" s="233"/>
      <c r="BK723" s="233"/>
      <c r="BL723" s="233"/>
      <c r="BM723" s="233"/>
      <c r="BN723" s="233"/>
      <c r="BO723" s="233"/>
      <c r="BP723" s="233"/>
      <c r="BQ723" s="233"/>
      <c r="BR723" s="233"/>
      <c r="BS723" s="233"/>
      <c r="BT723" s="233"/>
      <c r="BU723" s="233"/>
      <c r="BV723" s="233"/>
      <c r="BW723" s="233"/>
      <c r="BX723" s="233"/>
      <c r="BY723" s="233"/>
      <c r="BZ723" s="233"/>
      <c r="CA723" s="233"/>
    </row>
    <row r="724" spans="1:79" x14ac:dyDescent="0.25">
      <c r="AQ724" s="233"/>
      <c r="AR724" s="233"/>
      <c r="AS724" s="233"/>
      <c r="AT724" s="233"/>
      <c r="AU724" s="233"/>
      <c r="AV724" s="233"/>
      <c r="AW724" s="233"/>
      <c r="AX724" s="233"/>
      <c r="AY724" s="233"/>
      <c r="AZ724" s="233"/>
      <c r="BA724" s="233"/>
      <c r="BB724" s="233"/>
      <c r="BC724" s="233"/>
      <c r="BD724" s="233"/>
      <c r="BE724" s="233"/>
      <c r="BF724" s="233"/>
      <c r="BG724" s="233"/>
      <c r="BH724" s="233"/>
      <c r="BI724" s="233"/>
      <c r="BJ724" s="233"/>
      <c r="BK724" s="233"/>
      <c r="BL724" s="233"/>
      <c r="BM724" s="233"/>
      <c r="BN724" s="233"/>
      <c r="BO724" s="233"/>
      <c r="BP724" s="233"/>
      <c r="BQ724" s="233"/>
      <c r="BR724" s="233"/>
      <c r="BS724" s="233"/>
      <c r="BT724" s="233"/>
      <c r="BU724" s="233"/>
      <c r="BV724" s="233"/>
      <c r="BW724" s="233"/>
      <c r="BX724" s="233"/>
      <c r="BY724" s="233"/>
      <c r="BZ724" s="233"/>
      <c r="CA724" s="233"/>
    </row>
    <row r="725" spans="1:79" x14ac:dyDescent="0.25">
      <c r="AQ725" s="233"/>
      <c r="AR725" s="233"/>
      <c r="AS725" s="233"/>
      <c r="AT725" s="233"/>
      <c r="AU725" s="233"/>
      <c r="AV725" s="233"/>
      <c r="AW725" s="233"/>
      <c r="AX725" s="233"/>
      <c r="AY725" s="233"/>
      <c r="AZ725" s="233"/>
      <c r="BA725" s="233"/>
      <c r="BB725" s="233"/>
      <c r="BC725" s="233"/>
      <c r="BD725" s="233"/>
      <c r="BE725" s="233"/>
      <c r="BF725" s="233"/>
      <c r="BG725" s="233"/>
      <c r="BH725" s="233"/>
      <c r="BI725" s="233"/>
      <c r="BJ725" s="233"/>
      <c r="BK725" s="233"/>
      <c r="BL725" s="233"/>
      <c r="BM725" s="233"/>
      <c r="BN725" s="233"/>
      <c r="BO725" s="233"/>
      <c r="BP725" s="233"/>
      <c r="BQ725" s="233"/>
      <c r="BR725" s="233"/>
      <c r="BS725" s="233"/>
      <c r="BT725" s="233"/>
      <c r="BU725" s="233"/>
      <c r="BV725" s="233"/>
      <c r="BW725" s="233"/>
      <c r="BX725" s="233"/>
      <c r="BY725" s="233"/>
      <c r="BZ725" s="233"/>
      <c r="CA725" s="233"/>
    </row>
    <row r="726" spans="1:79" x14ac:dyDescent="0.25">
      <c r="AQ726" s="233"/>
      <c r="AR726" s="233"/>
      <c r="AS726" s="233"/>
      <c r="AT726" s="233"/>
      <c r="AU726" s="233"/>
      <c r="AV726" s="233"/>
      <c r="AW726" s="233"/>
      <c r="AX726" s="233"/>
      <c r="AY726" s="233"/>
      <c r="AZ726" s="233"/>
      <c r="BA726" s="233"/>
      <c r="BB726" s="233"/>
      <c r="BC726" s="233"/>
      <c r="BD726" s="233"/>
      <c r="BE726" s="233"/>
      <c r="BF726" s="233"/>
      <c r="BG726" s="233"/>
      <c r="BH726" s="233"/>
      <c r="BI726" s="233"/>
      <c r="BJ726" s="233"/>
      <c r="BK726" s="233"/>
      <c r="BL726" s="233"/>
      <c r="BM726" s="233"/>
      <c r="BN726" s="233"/>
      <c r="BO726" s="233"/>
      <c r="BP726" s="233"/>
      <c r="BQ726" s="233"/>
      <c r="BR726" s="233"/>
      <c r="BS726" s="233"/>
      <c r="BT726" s="233"/>
      <c r="BU726" s="233"/>
      <c r="BV726" s="233"/>
      <c r="BW726" s="233"/>
      <c r="BX726" s="233"/>
      <c r="BY726" s="233"/>
      <c r="BZ726" s="233"/>
      <c r="CA726" s="233"/>
    </row>
    <row r="727" spans="1:79" x14ac:dyDescent="0.25">
      <c r="AQ727" s="233"/>
      <c r="AR727" s="233"/>
      <c r="AS727" s="233"/>
      <c r="AT727" s="233"/>
      <c r="AU727" s="233"/>
      <c r="AV727" s="233"/>
      <c r="AW727" s="233"/>
      <c r="AX727" s="233"/>
      <c r="AY727" s="233"/>
      <c r="AZ727" s="233"/>
      <c r="BA727" s="233"/>
      <c r="BB727" s="233"/>
      <c r="BC727" s="233"/>
      <c r="BD727" s="233"/>
      <c r="BE727" s="233"/>
      <c r="BF727" s="233"/>
      <c r="BG727" s="233"/>
      <c r="BH727" s="233"/>
      <c r="BI727" s="233"/>
      <c r="BJ727" s="233"/>
      <c r="BK727" s="233"/>
      <c r="BL727" s="233"/>
      <c r="BM727" s="233"/>
      <c r="BN727" s="233"/>
      <c r="BO727" s="233"/>
      <c r="BP727" s="233"/>
      <c r="BQ727" s="233"/>
      <c r="BR727" s="233"/>
      <c r="BS727" s="233"/>
      <c r="BT727" s="233"/>
      <c r="BU727" s="233"/>
      <c r="BV727" s="233"/>
      <c r="BW727" s="233"/>
      <c r="BX727" s="233"/>
      <c r="BY727" s="233"/>
      <c r="BZ727" s="233"/>
      <c r="CA727" s="233"/>
    </row>
    <row r="728" spans="1:79" x14ac:dyDescent="0.25">
      <c r="AQ728" s="233"/>
      <c r="AR728" s="233"/>
      <c r="AS728" s="233"/>
      <c r="AT728" s="233"/>
      <c r="AU728" s="233"/>
      <c r="AV728" s="233"/>
      <c r="AW728" s="233"/>
      <c r="AX728" s="233"/>
      <c r="AY728" s="233"/>
      <c r="AZ728" s="233"/>
      <c r="BA728" s="233"/>
      <c r="BB728" s="233"/>
      <c r="BC728" s="233"/>
      <c r="BD728" s="233"/>
      <c r="BE728" s="233"/>
      <c r="BF728" s="233"/>
      <c r="BG728" s="233"/>
      <c r="BH728" s="233"/>
      <c r="BI728" s="233"/>
      <c r="BJ728" s="233"/>
      <c r="BK728" s="233"/>
      <c r="BL728" s="233"/>
      <c r="BM728" s="233"/>
      <c r="BN728" s="233"/>
      <c r="BO728" s="233"/>
      <c r="BP728" s="233"/>
      <c r="BQ728" s="233"/>
      <c r="BR728" s="233"/>
      <c r="BS728" s="233"/>
      <c r="BT728" s="233"/>
      <c r="BU728" s="233"/>
      <c r="BV728" s="233"/>
      <c r="BW728" s="233"/>
      <c r="BX728" s="233"/>
      <c r="BY728" s="233"/>
      <c r="BZ728" s="233"/>
      <c r="CA728" s="233"/>
    </row>
    <row r="729" spans="1:79" x14ac:dyDescent="0.25">
      <c r="AQ729" s="233"/>
      <c r="AR729" s="233"/>
      <c r="AS729" s="233"/>
      <c r="AT729" s="233"/>
      <c r="AU729" s="233"/>
      <c r="AV729" s="233"/>
      <c r="AW729" s="233"/>
      <c r="AX729" s="233"/>
      <c r="AY729" s="233"/>
      <c r="AZ729" s="233"/>
      <c r="BA729" s="233"/>
      <c r="BB729" s="233"/>
      <c r="BC729" s="233"/>
      <c r="BD729" s="233"/>
      <c r="BE729" s="233"/>
      <c r="BF729" s="233"/>
      <c r="BG729" s="233"/>
      <c r="BH729" s="233"/>
      <c r="BI729" s="233"/>
      <c r="BJ729" s="233"/>
      <c r="BK729" s="233"/>
      <c r="BL729" s="233"/>
      <c r="BM729" s="233"/>
      <c r="BN729" s="233"/>
      <c r="BO729" s="233"/>
      <c r="BP729" s="233"/>
      <c r="BQ729" s="233"/>
      <c r="BR729" s="233"/>
      <c r="BS729" s="233"/>
      <c r="BT729" s="233"/>
      <c r="BU729" s="233"/>
      <c r="BV729" s="233"/>
      <c r="BW729" s="233"/>
      <c r="BX729" s="233"/>
      <c r="BY729" s="233"/>
      <c r="BZ729" s="233"/>
      <c r="CA729" s="233"/>
    </row>
    <row r="730" spans="1:79" x14ac:dyDescent="0.25">
      <c r="AQ730" s="233"/>
      <c r="AR730" s="233"/>
      <c r="AS730" s="233"/>
      <c r="AT730" s="233"/>
      <c r="AU730" s="233"/>
      <c r="AV730" s="233"/>
      <c r="AW730" s="233"/>
      <c r="AX730" s="233"/>
      <c r="AY730" s="233"/>
      <c r="AZ730" s="233"/>
      <c r="BA730" s="233"/>
      <c r="BB730" s="233"/>
      <c r="BC730" s="233"/>
      <c r="BD730" s="233"/>
      <c r="BE730" s="233"/>
      <c r="BF730" s="233"/>
      <c r="BG730" s="233"/>
      <c r="BH730" s="233"/>
      <c r="BI730" s="233"/>
      <c r="BJ730" s="233"/>
      <c r="BK730" s="233"/>
      <c r="BL730" s="233"/>
      <c r="BM730" s="233"/>
      <c r="BN730" s="233"/>
      <c r="BO730" s="233"/>
      <c r="BP730" s="233"/>
      <c r="BQ730" s="233"/>
      <c r="BR730" s="233"/>
      <c r="BS730" s="233"/>
      <c r="BT730" s="233"/>
      <c r="BU730" s="233"/>
      <c r="BV730" s="233"/>
      <c r="BW730" s="233"/>
      <c r="BX730" s="233"/>
      <c r="BY730" s="233"/>
      <c r="BZ730" s="233"/>
      <c r="CA730" s="233"/>
    </row>
    <row r="731" spans="1:79" x14ac:dyDescent="0.25">
      <c r="AQ731" s="233"/>
      <c r="AR731" s="233"/>
      <c r="AS731" s="233"/>
      <c r="AT731" s="233"/>
      <c r="AU731" s="233"/>
      <c r="AV731" s="233"/>
      <c r="AW731" s="233"/>
      <c r="AX731" s="233"/>
      <c r="AY731" s="233"/>
      <c r="AZ731" s="233"/>
      <c r="BA731" s="233"/>
      <c r="BB731" s="233"/>
      <c r="BC731" s="233"/>
      <c r="BD731" s="233"/>
      <c r="BE731" s="233"/>
      <c r="BF731" s="233"/>
      <c r="BG731" s="233"/>
      <c r="BH731" s="233"/>
      <c r="BI731" s="233"/>
      <c r="BJ731" s="233"/>
      <c r="BK731" s="233"/>
      <c r="BL731" s="233"/>
      <c r="BM731" s="233"/>
      <c r="BN731" s="233"/>
      <c r="BO731" s="233"/>
      <c r="BP731" s="233"/>
      <c r="BQ731" s="233"/>
      <c r="BR731" s="233"/>
      <c r="BS731" s="233"/>
      <c r="BT731" s="233"/>
      <c r="BU731" s="233"/>
      <c r="BV731" s="233"/>
      <c r="BW731" s="233"/>
      <c r="BX731" s="233"/>
      <c r="BY731" s="233"/>
      <c r="BZ731" s="233"/>
      <c r="CA731" s="233"/>
    </row>
    <row r="732" spans="1:79" x14ac:dyDescent="0.25">
      <c r="AQ732" s="233"/>
      <c r="AR732" s="233"/>
      <c r="AS732" s="233"/>
      <c r="AT732" s="233"/>
      <c r="AU732" s="233"/>
      <c r="AV732" s="233"/>
      <c r="AW732" s="233"/>
      <c r="AX732" s="233"/>
      <c r="AY732" s="233"/>
      <c r="AZ732" s="233"/>
      <c r="BA732" s="233"/>
      <c r="BB732" s="233"/>
      <c r="BC732" s="233"/>
      <c r="BD732" s="233"/>
      <c r="BE732" s="233"/>
      <c r="BF732" s="233"/>
      <c r="BG732" s="233"/>
      <c r="BH732" s="233"/>
      <c r="BI732" s="233"/>
      <c r="BJ732" s="233"/>
      <c r="BK732" s="233"/>
      <c r="BL732" s="233"/>
      <c r="BM732" s="233"/>
      <c r="BN732" s="233"/>
      <c r="BO732" s="233"/>
      <c r="BP732" s="233"/>
      <c r="BQ732" s="233"/>
      <c r="BR732" s="233"/>
      <c r="BS732" s="233"/>
      <c r="BT732" s="233"/>
      <c r="BU732" s="233"/>
      <c r="BV732" s="233"/>
      <c r="BW732" s="233"/>
      <c r="BX732" s="233"/>
      <c r="BY732" s="233"/>
      <c r="BZ732" s="233"/>
      <c r="CA732" s="233"/>
    </row>
    <row r="733" spans="1:79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Q733" s="233"/>
      <c r="AR733" s="233"/>
      <c r="AS733" s="233"/>
      <c r="AT733" s="233"/>
      <c r="AU733" s="233"/>
      <c r="AV733" s="233"/>
      <c r="AW733" s="233"/>
      <c r="AX733" s="233"/>
      <c r="AY733" s="233"/>
      <c r="AZ733" s="233"/>
      <c r="BA733" s="233"/>
      <c r="BB733" s="233"/>
      <c r="BC733" s="233"/>
      <c r="BD733" s="233"/>
      <c r="BE733" s="233"/>
      <c r="BF733" s="233"/>
      <c r="BG733" s="233"/>
      <c r="BH733" s="233"/>
      <c r="BI733" s="233"/>
      <c r="BJ733" s="233"/>
      <c r="BK733" s="233"/>
      <c r="BL733" s="233"/>
      <c r="BM733" s="233"/>
      <c r="BN733" s="233"/>
      <c r="BO733" s="233"/>
      <c r="BP733" s="233"/>
      <c r="BQ733" s="233"/>
      <c r="BR733" s="233"/>
      <c r="BS733" s="233"/>
      <c r="BT733" s="233"/>
      <c r="BU733" s="233"/>
      <c r="BV733" s="233"/>
      <c r="BW733" s="233"/>
      <c r="BX733" s="233"/>
      <c r="BY733" s="233"/>
      <c r="BZ733" s="233"/>
      <c r="CA733" s="233"/>
    </row>
    <row r="734" spans="1:79" x14ac:dyDescent="0.25">
      <c r="AQ734" s="233"/>
      <c r="AR734" s="233"/>
      <c r="AS734" s="233"/>
      <c r="AT734" s="233"/>
      <c r="AU734" s="233"/>
      <c r="AV734" s="233"/>
      <c r="AW734" s="233"/>
      <c r="AX734" s="233"/>
      <c r="AY734" s="233"/>
      <c r="AZ734" s="233"/>
      <c r="BA734" s="233"/>
      <c r="BB734" s="233"/>
      <c r="BC734" s="233"/>
      <c r="BD734" s="233"/>
      <c r="BE734" s="233"/>
      <c r="BF734" s="233"/>
      <c r="BG734" s="233"/>
      <c r="BH734" s="233"/>
      <c r="BI734" s="233"/>
      <c r="BJ734" s="233"/>
      <c r="BK734" s="233"/>
      <c r="BL734" s="233"/>
      <c r="BM734" s="233"/>
      <c r="BN734" s="233"/>
      <c r="BO734" s="233"/>
      <c r="BP734" s="233"/>
      <c r="BQ734" s="233"/>
      <c r="BR734" s="233"/>
      <c r="BS734" s="233"/>
      <c r="BT734" s="233"/>
      <c r="BU734" s="233"/>
      <c r="BV734" s="233"/>
      <c r="BW734" s="233"/>
      <c r="BX734" s="233"/>
      <c r="BY734" s="233"/>
      <c r="BZ734" s="233"/>
      <c r="CA734" s="233"/>
    </row>
    <row r="735" spans="1:79" x14ac:dyDescent="0.25">
      <c r="AQ735" s="233"/>
      <c r="AR735" s="233"/>
      <c r="AS735" s="233"/>
      <c r="AT735" s="233"/>
      <c r="AU735" s="233"/>
      <c r="AV735" s="233"/>
      <c r="AW735" s="233"/>
      <c r="AX735" s="233"/>
      <c r="AY735" s="233"/>
      <c r="AZ735" s="233"/>
      <c r="BA735" s="233"/>
      <c r="BB735" s="233"/>
      <c r="BC735" s="233"/>
      <c r="BD735" s="233"/>
      <c r="BE735" s="233"/>
      <c r="BF735" s="233"/>
      <c r="BG735" s="233"/>
      <c r="BH735" s="233"/>
      <c r="BI735" s="233"/>
      <c r="BJ735" s="233"/>
      <c r="BK735" s="233"/>
      <c r="BL735" s="233"/>
      <c r="BM735" s="233"/>
      <c r="BN735" s="233"/>
      <c r="BO735" s="233"/>
      <c r="BP735" s="233"/>
      <c r="BQ735" s="233"/>
      <c r="BR735" s="233"/>
      <c r="BS735" s="233"/>
      <c r="BT735" s="233"/>
      <c r="BU735" s="233"/>
      <c r="BV735" s="233"/>
      <c r="BW735" s="233"/>
      <c r="BX735" s="233"/>
      <c r="BY735" s="233"/>
      <c r="BZ735" s="233"/>
      <c r="CA735" s="233"/>
    </row>
    <row r="736" spans="1:79" x14ac:dyDescent="0.25">
      <c r="AQ736" s="233"/>
      <c r="AR736" s="233"/>
      <c r="AS736" s="233"/>
      <c r="AT736" s="233"/>
      <c r="AU736" s="233"/>
      <c r="AV736" s="233"/>
      <c r="AW736" s="233"/>
      <c r="AX736" s="233"/>
      <c r="AY736" s="233"/>
      <c r="AZ736" s="233"/>
      <c r="BA736" s="233"/>
      <c r="BB736" s="233"/>
      <c r="BC736" s="233"/>
      <c r="BD736" s="233"/>
      <c r="BE736" s="233"/>
      <c r="BF736" s="233"/>
      <c r="BG736" s="233"/>
      <c r="BH736" s="233"/>
      <c r="BI736" s="233"/>
      <c r="BJ736" s="233"/>
      <c r="BK736" s="233"/>
      <c r="BL736" s="233"/>
      <c r="BM736" s="233"/>
      <c r="BN736" s="233"/>
      <c r="BO736" s="233"/>
      <c r="BP736" s="233"/>
      <c r="BQ736" s="233"/>
      <c r="BR736" s="233"/>
      <c r="BS736" s="233"/>
      <c r="BT736" s="233"/>
      <c r="BU736" s="233"/>
      <c r="BV736" s="233"/>
      <c r="BW736" s="233"/>
      <c r="BX736" s="233"/>
      <c r="BY736" s="233"/>
      <c r="BZ736" s="233"/>
      <c r="CA736" s="233"/>
    </row>
    <row r="737" spans="43:79" x14ac:dyDescent="0.25">
      <c r="AQ737" s="233"/>
      <c r="AR737" s="233"/>
      <c r="AS737" s="233"/>
      <c r="AT737" s="233"/>
      <c r="AU737" s="233"/>
      <c r="AV737" s="233"/>
      <c r="AW737" s="233"/>
      <c r="AX737" s="233"/>
      <c r="AY737" s="233"/>
      <c r="AZ737" s="233"/>
      <c r="BA737" s="233"/>
      <c r="BB737" s="233"/>
      <c r="BC737" s="233"/>
      <c r="BD737" s="233"/>
      <c r="BE737" s="233"/>
      <c r="BF737" s="233"/>
      <c r="BG737" s="233"/>
      <c r="BH737" s="233"/>
      <c r="BI737" s="233"/>
      <c r="BJ737" s="233"/>
      <c r="BK737" s="233"/>
      <c r="BL737" s="233"/>
      <c r="BM737" s="233"/>
      <c r="BN737" s="233"/>
      <c r="BO737" s="233"/>
      <c r="BP737" s="233"/>
      <c r="BQ737" s="233"/>
      <c r="BR737" s="233"/>
      <c r="BS737" s="233"/>
      <c r="BT737" s="233"/>
      <c r="BU737" s="233"/>
      <c r="BV737" s="233"/>
      <c r="BW737" s="233"/>
      <c r="BX737" s="233"/>
      <c r="BY737" s="233"/>
      <c r="BZ737" s="233"/>
      <c r="CA737" s="233"/>
    </row>
    <row r="738" spans="43:79" x14ac:dyDescent="0.25">
      <c r="AQ738" s="233"/>
      <c r="AR738" s="233"/>
      <c r="AS738" s="233"/>
      <c r="AT738" s="233"/>
      <c r="AU738" s="233"/>
      <c r="AV738" s="233"/>
      <c r="AW738" s="233"/>
      <c r="AX738" s="233"/>
      <c r="AY738" s="233"/>
      <c r="AZ738" s="233"/>
      <c r="BA738" s="233"/>
      <c r="BB738" s="233"/>
      <c r="BC738" s="233"/>
      <c r="BD738" s="233"/>
      <c r="BE738" s="233"/>
      <c r="BF738" s="233"/>
      <c r="BG738" s="233"/>
      <c r="BH738" s="233"/>
      <c r="BI738" s="233"/>
      <c r="BJ738" s="233"/>
      <c r="BK738" s="233"/>
      <c r="BL738" s="233"/>
      <c r="BM738" s="233"/>
      <c r="BN738" s="233"/>
      <c r="BO738" s="233"/>
      <c r="BP738" s="233"/>
      <c r="BQ738" s="233"/>
      <c r="BR738" s="233"/>
      <c r="BS738" s="233"/>
      <c r="BT738" s="233"/>
      <c r="BU738" s="233"/>
      <c r="BV738" s="233"/>
      <c r="BW738" s="233"/>
      <c r="BX738" s="233"/>
      <c r="BY738" s="233"/>
      <c r="BZ738" s="233"/>
      <c r="CA738" s="233"/>
    </row>
    <row r="739" spans="43:79" x14ac:dyDescent="0.25">
      <c r="AQ739" s="233"/>
      <c r="AR739" s="233"/>
      <c r="AS739" s="233"/>
      <c r="AT739" s="233"/>
      <c r="AU739" s="233"/>
      <c r="AV739" s="233"/>
      <c r="AW739" s="233"/>
      <c r="AX739" s="233"/>
      <c r="AY739" s="233"/>
      <c r="AZ739" s="233"/>
      <c r="BA739" s="233"/>
      <c r="BB739" s="233"/>
      <c r="BC739" s="233"/>
      <c r="BD739" s="233"/>
      <c r="BE739" s="233"/>
      <c r="BF739" s="233"/>
      <c r="BG739" s="233"/>
      <c r="BH739" s="233"/>
      <c r="BI739" s="233"/>
      <c r="BJ739" s="233"/>
      <c r="BK739" s="233"/>
      <c r="BL739" s="233"/>
      <c r="BM739" s="233"/>
      <c r="BN739" s="233"/>
      <c r="BO739" s="233"/>
      <c r="BP739" s="233"/>
      <c r="BQ739" s="233"/>
      <c r="BR739" s="233"/>
      <c r="BS739" s="233"/>
      <c r="BT739" s="233"/>
      <c r="BU739" s="233"/>
      <c r="BV739" s="233"/>
      <c r="BW739" s="233"/>
      <c r="BX739" s="233"/>
      <c r="BY739" s="233"/>
      <c r="BZ739" s="233"/>
      <c r="CA739" s="233"/>
    </row>
    <row r="740" spans="43:79" x14ac:dyDescent="0.25">
      <c r="AQ740" s="233"/>
      <c r="AR740" s="233"/>
      <c r="AS740" s="233"/>
      <c r="AT740" s="233"/>
      <c r="AU740" s="233"/>
      <c r="AV740" s="233"/>
      <c r="AW740" s="233"/>
      <c r="AX740" s="233"/>
      <c r="AY740" s="233"/>
      <c r="AZ740" s="233"/>
      <c r="BA740" s="233"/>
      <c r="BB740" s="233"/>
      <c r="BC740" s="233"/>
      <c r="BD740" s="233"/>
      <c r="BE740" s="233"/>
      <c r="BF740" s="233"/>
      <c r="BG740" s="233"/>
      <c r="BH740" s="233"/>
      <c r="BI740" s="233"/>
      <c r="BJ740" s="233"/>
      <c r="BK740" s="233"/>
      <c r="BL740" s="233"/>
      <c r="BM740" s="233"/>
      <c r="BN740" s="233"/>
      <c r="BO740" s="233"/>
      <c r="BP740" s="233"/>
      <c r="BQ740" s="233"/>
      <c r="BR740" s="233"/>
      <c r="BS740" s="233"/>
      <c r="BT740" s="233"/>
      <c r="BU740" s="233"/>
      <c r="BV740" s="233"/>
      <c r="BW740" s="233"/>
      <c r="BX740" s="233"/>
      <c r="BY740" s="233"/>
      <c r="BZ740" s="233"/>
      <c r="CA740" s="233"/>
    </row>
    <row r="741" spans="43:79" x14ac:dyDescent="0.25">
      <c r="AQ741" s="233"/>
      <c r="AR741" s="233"/>
      <c r="AS741" s="233"/>
      <c r="AT741" s="233"/>
      <c r="AU741" s="233"/>
      <c r="AV741" s="233"/>
      <c r="AW741" s="233"/>
      <c r="AX741" s="233"/>
      <c r="AY741" s="233"/>
      <c r="AZ741" s="233"/>
      <c r="BA741" s="233"/>
      <c r="BB741" s="233"/>
      <c r="BC741" s="233"/>
      <c r="BD741" s="233"/>
      <c r="BE741" s="233"/>
      <c r="BF741" s="233"/>
      <c r="BG741" s="233"/>
      <c r="BH741" s="233"/>
      <c r="BI741" s="233"/>
      <c r="BJ741" s="233"/>
      <c r="BK741" s="233"/>
      <c r="BL741" s="233"/>
      <c r="BM741" s="233"/>
      <c r="BN741" s="233"/>
      <c r="BO741" s="233"/>
      <c r="BP741" s="233"/>
      <c r="BQ741" s="233"/>
      <c r="BR741" s="233"/>
      <c r="BS741" s="233"/>
      <c r="BT741" s="233"/>
      <c r="BU741" s="233"/>
      <c r="BV741" s="233"/>
      <c r="BW741" s="233"/>
      <c r="BX741" s="233"/>
      <c r="BY741" s="233"/>
      <c r="BZ741" s="233"/>
      <c r="CA741" s="233"/>
    </row>
    <row r="742" spans="43:79" x14ac:dyDescent="0.25">
      <c r="AQ742" s="233"/>
      <c r="AR742" s="233"/>
      <c r="AS742" s="233"/>
      <c r="AT742" s="233"/>
      <c r="AU742" s="233"/>
      <c r="AV742" s="233"/>
      <c r="AW742" s="233"/>
      <c r="AX742" s="233"/>
      <c r="AY742" s="233"/>
      <c r="AZ742" s="233"/>
      <c r="BA742" s="233"/>
      <c r="BB742" s="233"/>
      <c r="BC742" s="233"/>
      <c r="BD742" s="233"/>
      <c r="BE742" s="233"/>
      <c r="BF742" s="233"/>
      <c r="BG742" s="233"/>
      <c r="BH742" s="233"/>
      <c r="BI742" s="233"/>
      <c r="BJ742" s="233"/>
      <c r="BK742" s="233"/>
      <c r="BL742" s="233"/>
      <c r="BM742" s="233"/>
      <c r="BN742" s="233"/>
      <c r="BO742" s="233"/>
      <c r="BP742" s="233"/>
      <c r="BQ742" s="233"/>
      <c r="BR742" s="233"/>
      <c r="BS742" s="233"/>
      <c r="BT742" s="233"/>
      <c r="BU742" s="233"/>
      <c r="BV742" s="233"/>
      <c r="BW742" s="233"/>
      <c r="BX742" s="233"/>
      <c r="BY742" s="233"/>
      <c r="BZ742" s="233"/>
      <c r="CA742" s="233"/>
    </row>
    <row r="743" spans="43:79" x14ac:dyDescent="0.25">
      <c r="AQ743" s="233"/>
      <c r="AR743" s="233"/>
      <c r="AS743" s="233"/>
      <c r="AT743" s="233"/>
      <c r="AU743" s="233"/>
      <c r="AV743" s="233"/>
      <c r="AW743" s="233"/>
      <c r="AX743" s="233"/>
      <c r="AY743" s="233"/>
      <c r="AZ743" s="233"/>
      <c r="BA743" s="233"/>
      <c r="BB743" s="233"/>
      <c r="BC743" s="233"/>
      <c r="BD743" s="233"/>
      <c r="BE743" s="233"/>
      <c r="BF743" s="233"/>
      <c r="BG743" s="233"/>
      <c r="BH743" s="233"/>
      <c r="BI743" s="233"/>
      <c r="BJ743" s="233"/>
      <c r="BK743" s="233"/>
      <c r="BL743" s="233"/>
      <c r="BM743" s="233"/>
      <c r="BN743" s="233"/>
      <c r="BO743" s="233"/>
      <c r="BP743" s="233"/>
      <c r="BQ743" s="233"/>
      <c r="BR743" s="233"/>
      <c r="BS743" s="233"/>
      <c r="BT743" s="233"/>
      <c r="BU743" s="233"/>
      <c r="BV743" s="233"/>
      <c r="BW743" s="233"/>
      <c r="BX743" s="233"/>
      <c r="BY743" s="233"/>
      <c r="BZ743" s="233"/>
      <c r="CA743" s="233"/>
    </row>
    <row r="744" spans="43:79" x14ac:dyDescent="0.25">
      <c r="AQ744" s="233"/>
      <c r="AR744" s="233"/>
      <c r="AS744" s="233"/>
      <c r="AT744" s="233"/>
      <c r="AU744" s="233"/>
      <c r="AV744" s="233"/>
      <c r="AW744" s="233"/>
      <c r="AX744" s="233"/>
      <c r="AY744" s="233"/>
      <c r="AZ744" s="233"/>
      <c r="BA744" s="233"/>
      <c r="BB744" s="233"/>
      <c r="BC744" s="233"/>
      <c r="BD744" s="233"/>
      <c r="BE744" s="233"/>
      <c r="BF744" s="233"/>
      <c r="BG744" s="233"/>
      <c r="BH744" s="233"/>
      <c r="BI744" s="233"/>
      <c r="BJ744" s="233"/>
      <c r="BK744" s="233"/>
      <c r="BL744" s="233"/>
      <c r="BM744" s="233"/>
      <c r="BN744" s="233"/>
      <c r="BO744" s="233"/>
      <c r="BP744" s="233"/>
      <c r="BQ744" s="233"/>
      <c r="BR744" s="233"/>
      <c r="BS744" s="233"/>
      <c r="BT744" s="233"/>
      <c r="BU744" s="233"/>
      <c r="BV744" s="233"/>
      <c r="BW744" s="233"/>
      <c r="BX744" s="233"/>
      <c r="BY744" s="233"/>
      <c r="BZ744" s="233"/>
      <c r="CA744" s="233"/>
    </row>
    <row r="745" spans="43:79" x14ac:dyDescent="0.25">
      <c r="AQ745" s="233"/>
      <c r="AR745" s="233"/>
      <c r="AS745" s="233"/>
      <c r="AT745" s="233"/>
      <c r="AU745" s="233"/>
      <c r="AV745" s="233"/>
      <c r="AW745" s="233"/>
      <c r="AX745" s="233"/>
      <c r="AY745" s="233"/>
      <c r="AZ745" s="233"/>
      <c r="BA745" s="233"/>
      <c r="BB745" s="233"/>
      <c r="BC745" s="233"/>
      <c r="BD745" s="233"/>
      <c r="BE745" s="233"/>
      <c r="BF745" s="233"/>
      <c r="BG745" s="233"/>
      <c r="BH745" s="233"/>
      <c r="BI745" s="233"/>
      <c r="BJ745" s="233"/>
      <c r="BK745" s="233"/>
      <c r="BL745" s="233"/>
      <c r="BM745" s="233"/>
      <c r="BN745" s="233"/>
      <c r="BO745" s="233"/>
      <c r="BP745" s="233"/>
      <c r="BQ745" s="233"/>
      <c r="BR745" s="233"/>
      <c r="BS745" s="233"/>
      <c r="BT745" s="233"/>
      <c r="BU745" s="233"/>
      <c r="BV745" s="233"/>
      <c r="BW745" s="233"/>
      <c r="BX745" s="233"/>
      <c r="BY745" s="233"/>
      <c r="BZ745" s="233"/>
      <c r="CA745" s="233"/>
    </row>
    <row r="746" spans="43:79" x14ac:dyDescent="0.25">
      <c r="AQ746" s="233"/>
      <c r="AR746" s="233"/>
      <c r="AS746" s="233"/>
      <c r="AT746" s="233"/>
      <c r="AU746" s="233"/>
      <c r="AV746" s="233"/>
      <c r="AW746" s="233"/>
      <c r="AX746" s="233"/>
      <c r="AY746" s="233"/>
      <c r="AZ746" s="233"/>
      <c r="BA746" s="233"/>
      <c r="BB746" s="233"/>
      <c r="BC746" s="233"/>
      <c r="BD746" s="233"/>
      <c r="BE746" s="233"/>
      <c r="BF746" s="233"/>
      <c r="BG746" s="233"/>
      <c r="BH746" s="233"/>
      <c r="BI746" s="233"/>
      <c r="BJ746" s="233"/>
      <c r="BK746" s="233"/>
      <c r="BL746" s="233"/>
      <c r="BM746" s="233"/>
      <c r="BN746" s="233"/>
      <c r="BO746" s="233"/>
      <c r="BP746" s="233"/>
      <c r="BQ746" s="233"/>
      <c r="BR746" s="233"/>
      <c r="BS746" s="233"/>
      <c r="BT746" s="233"/>
      <c r="BU746" s="233"/>
      <c r="BV746" s="233"/>
      <c r="BW746" s="233"/>
      <c r="BX746" s="233"/>
      <c r="BY746" s="233"/>
      <c r="BZ746" s="233"/>
      <c r="CA746" s="233"/>
    </row>
    <row r="747" spans="43:79" x14ac:dyDescent="0.25">
      <c r="AQ747" s="233"/>
      <c r="AR747" s="233"/>
      <c r="AS747" s="233"/>
      <c r="AT747" s="233"/>
      <c r="AU747" s="233"/>
      <c r="AV747" s="233"/>
      <c r="AW747" s="233"/>
      <c r="AX747" s="233"/>
      <c r="AY747" s="233"/>
      <c r="AZ747" s="233"/>
      <c r="BA747" s="233"/>
      <c r="BB747" s="233"/>
      <c r="BC747" s="233"/>
      <c r="BD747" s="233"/>
      <c r="BE747" s="233"/>
      <c r="BF747" s="233"/>
      <c r="BG747" s="233"/>
      <c r="BH747" s="233"/>
      <c r="BI747" s="233"/>
      <c r="BJ747" s="233"/>
      <c r="BK747" s="233"/>
      <c r="BL747" s="233"/>
      <c r="BM747" s="233"/>
      <c r="BN747" s="233"/>
      <c r="BO747" s="233"/>
      <c r="BP747" s="233"/>
      <c r="BQ747" s="233"/>
      <c r="BR747" s="233"/>
      <c r="BS747" s="233"/>
      <c r="BT747" s="233"/>
      <c r="BU747" s="233"/>
      <c r="BV747" s="233"/>
      <c r="BW747" s="233"/>
      <c r="BX747" s="233"/>
      <c r="BY747" s="233"/>
      <c r="BZ747" s="233"/>
      <c r="CA747" s="233"/>
    </row>
    <row r="748" spans="43:79" x14ac:dyDescent="0.25">
      <c r="AQ748" s="233"/>
      <c r="AR748" s="233"/>
      <c r="AS748" s="233"/>
      <c r="AT748" s="233"/>
      <c r="AU748" s="233"/>
      <c r="AV748" s="233"/>
      <c r="AW748" s="233"/>
      <c r="AX748" s="233"/>
      <c r="AY748" s="233"/>
      <c r="AZ748" s="233"/>
      <c r="BA748" s="233"/>
      <c r="BB748" s="233"/>
      <c r="BC748" s="233"/>
      <c r="BD748" s="233"/>
      <c r="BE748" s="233"/>
      <c r="BF748" s="233"/>
      <c r="BG748" s="233"/>
      <c r="BH748" s="233"/>
      <c r="BI748" s="233"/>
      <c r="BJ748" s="233"/>
      <c r="BK748" s="233"/>
      <c r="BL748" s="233"/>
      <c r="BM748" s="233"/>
      <c r="BN748" s="233"/>
      <c r="BO748" s="233"/>
      <c r="BP748" s="233"/>
      <c r="BQ748" s="233"/>
      <c r="BR748" s="233"/>
      <c r="BS748" s="233"/>
      <c r="BT748" s="233"/>
      <c r="BU748" s="233"/>
      <c r="BV748" s="233"/>
      <c r="BW748" s="233"/>
      <c r="BX748" s="233"/>
      <c r="BY748" s="233"/>
      <c r="BZ748" s="233"/>
      <c r="CA748" s="233"/>
    </row>
    <row r="749" spans="43:79" x14ac:dyDescent="0.25">
      <c r="AQ749" s="233"/>
      <c r="AR749" s="233"/>
      <c r="AS749" s="233"/>
      <c r="AT749" s="233"/>
      <c r="AU749" s="233"/>
      <c r="AV749" s="233"/>
      <c r="AW749" s="233"/>
      <c r="AX749" s="233"/>
      <c r="AY749" s="233"/>
      <c r="AZ749" s="233"/>
      <c r="BA749" s="233"/>
      <c r="BB749" s="233"/>
      <c r="BC749" s="233"/>
      <c r="BD749" s="233"/>
      <c r="BE749" s="233"/>
      <c r="BF749" s="233"/>
      <c r="BG749" s="233"/>
      <c r="BH749" s="233"/>
      <c r="BI749" s="233"/>
      <c r="BJ749" s="233"/>
      <c r="BK749" s="233"/>
      <c r="BL749" s="233"/>
      <c r="BM749" s="233"/>
      <c r="BN749" s="233"/>
      <c r="BO749" s="233"/>
      <c r="BP749" s="233"/>
      <c r="BQ749" s="233"/>
      <c r="BR749" s="233"/>
      <c r="BS749" s="233"/>
      <c r="BT749" s="233"/>
      <c r="BU749" s="233"/>
      <c r="BV749" s="233"/>
      <c r="BW749" s="233"/>
      <c r="BX749" s="233"/>
      <c r="BY749" s="233"/>
      <c r="BZ749" s="233"/>
      <c r="CA749" s="233"/>
    </row>
    <row r="750" spans="43:79" x14ac:dyDescent="0.25">
      <c r="AQ750" s="233"/>
      <c r="AR750" s="233"/>
      <c r="AS750" s="233"/>
      <c r="AT750" s="233"/>
      <c r="AU750" s="233"/>
      <c r="AV750" s="233"/>
      <c r="AW750" s="233"/>
      <c r="AX750" s="233"/>
      <c r="AY750" s="233"/>
      <c r="AZ750" s="233"/>
      <c r="BA750" s="233"/>
      <c r="BB750" s="233"/>
      <c r="BC750" s="233"/>
      <c r="BD750" s="233"/>
      <c r="BE750" s="233"/>
      <c r="BF750" s="233"/>
      <c r="BG750" s="233"/>
      <c r="BH750" s="233"/>
      <c r="BI750" s="233"/>
      <c r="BJ750" s="233"/>
      <c r="BK750" s="233"/>
      <c r="BL750" s="233"/>
      <c r="BM750" s="233"/>
      <c r="BN750" s="233"/>
      <c r="BO750" s="233"/>
      <c r="BP750" s="233"/>
      <c r="BQ750" s="233"/>
      <c r="BR750" s="233"/>
      <c r="BS750" s="233"/>
      <c r="BT750" s="233"/>
      <c r="BU750" s="233"/>
      <c r="BV750" s="233"/>
      <c r="BW750" s="233"/>
      <c r="BX750" s="233"/>
      <c r="BY750" s="233"/>
      <c r="BZ750" s="233"/>
      <c r="CA750" s="233"/>
    </row>
    <row r="751" spans="43:79" x14ac:dyDescent="0.25">
      <c r="AQ751" s="233"/>
      <c r="AR751" s="233"/>
      <c r="AS751" s="233"/>
      <c r="AT751" s="233"/>
      <c r="AU751" s="233"/>
      <c r="AV751" s="233"/>
      <c r="AW751" s="233"/>
      <c r="AX751" s="233"/>
      <c r="AY751" s="233"/>
      <c r="AZ751" s="233"/>
      <c r="BA751" s="233"/>
      <c r="BB751" s="233"/>
      <c r="BC751" s="233"/>
      <c r="BD751" s="233"/>
      <c r="BE751" s="233"/>
      <c r="BF751" s="233"/>
      <c r="BG751" s="233"/>
      <c r="BH751" s="233"/>
      <c r="BI751" s="233"/>
      <c r="BJ751" s="233"/>
      <c r="BK751" s="233"/>
      <c r="BL751" s="233"/>
      <c r="BM751" s="233"/>
      <c r="BN751" s="233"/>
      <c r="BO751" s="233"/>
      <c r="BP751" s="233"/>
      <c r="BQ751" s="233"/>
      <c r="BR751" s="233"/>
      <c r="BS751" s="233"/>
      <c r="BT751" s="233"/>
      <c r="BU751" s="233"/>
      <c r="BV751" s="233"/>
      <c r="BW751" s="233"/>
      <c r="BX751" s="233"/>
      <c r="BY751" s="233"/>
      <c r="BZ751" s="233"/>
      <c r="CA751" s="233"/>
    </row>
    <row r="752" spans="43:79" x14ac:dyDescent="0.25">
      <c r="AQ752" s="233"/>
      <c r="AR752" s="233"/>
      <c r="AS752" s="233"/>
      <c r="AT752" s="233"/>
      <c r="AU752" s="233"/>
      <c r="AV752" s="233"/>
      <c r="AW752" s="233"/>
      <c r="AX752" s="233"/>
      <c r="AY752" s="233"/>
      <c r="AZ752" s="233"/>
      <c r="BA752" s="233"/>
      <c r="BB752" s="233"/>
      <c r="BC752" s="233"/>
      <c r="BD752" s="233"/>
      <c r="BE752" s="233"/>
      <c r="BF752" s="233"/>
      <c r="BG752" s="233"/>
      <c r="BH752" s="233"/>
      <c r="BI752" s="233"/>
      <c r="BJ752" s="233"/>
      <c r="BK752" s="233"/>
      <c r="BL752" s="233"/>
      <c r="BM752" s="233"/>
      <c r="BN752" s="233"/>
      <c r="BO752" s="233"/>
      <c r="BP752" s="233"/>
      <c r="BQ752" s="233"/>
      <c r="BR752" s="233"/>
      <c r="BS752" s="233"/>
      <c r="BT752" s="233"/>
      <c r="BU752" s="233"/>
      <c r="BV752" s="233"/>
      <c r="BW752" s="233"/>
      <c r="BX752" s="233"/>
      <c r="BY752" s="233"/>
      <c r="BZ752" s="233"/>
      <c r="CA752" s="233"/>
    </row>
    <row r="753" spans="43:79" x14ac:dyDescent="0.25">
      <c r="AQ753" s="233"/>
      <c r="AR753" s="233"/>
      <c r="AS753" s="233"/>
      <c r="AT753" s="233"/>
      <c r="AU753" s="233"/>
      <c r="AV753" s="233"/>
      <c r="AW753" s="233"/>
      <c r="AX753" s="233"/>
      <c r="AY753" s="233"/>
      <c r="AZ753" s="233"/>
      <c r="BA753" s="233"/>
      <c r="BB753" s="233"/>
      <c r="BC753" s="233"/>
      <c r="BD753" s="233"/>
      <c r="BE753" s="233"/>
      <c r="BF753" s="233"/>
      <c r="BG753" s="233"/>
      <c r="BH753" s="233"/>
      <c r="BI753" s="233"/>
      <c r="BJ753" s="233"/>
      <c r="BK753" s="233"/>
      <c r="BL753" s="233"/>
      <c r="BM753" s="233"/>
      <c r="BN753" s="233"/>
      <c r="BO753" s="233"/>
      <c r="BP753" s="233"/>
      <c r="BQ753" s="233"/>
      <c r="BR753" s="233"/>
      <c r="BS753" s="233"/>
      <c r="BT753" s="233"/>
      <c r="BU753" s="233"/>
      <c r="BV753" s="233"/>
      <c r="BW753" s="233"/>
      <c r="BX753" s="233"/>
      <c r="BY753" s="233"/>
      <c r="BZ753" s="233"/>
      <c r="CA753" s="233"/>
    </row>
    <row r="754" spans="43:79" x14ac:dyDescent="0.25">
      <c r="AQ754" s="233"/>
      <c r="AR754" s="233"/>
      <c r="AS754" s="233"/>
      <c r="AT754" s="233"/>
      <c r="AU754" s="233"/>
      <c r="AV754" s="233"/>
      <c r="AW754" s="233"/>
      <c r="AX754" s="233"/>
      <c r="AY754" s="233"/>
      <c r="AZ754" s="233"/>
      <c r="BA754" s="233"/>
      <c r="BB754" s="233"/>
      <c r="BC754" s="233"/>
      <c r="BD754" s="233"/>
      <c r="BE754" s="233"/>
      <c r="BF754" s="233"/>
      <c r="BG754" s="233"/>
      <c r="BH754" s="233"/>
      <c r="BI754" s="233"/>
      <c r="BJ754" s="233"/>
      <c r="BK754" s="233"/>
      <c r="BL754" s="233"/>
      <c r="BM754" s="233"/>
      <c r="BN754" s="233"/>
      <c r="BO754" s="233"/>
      <c r="BP754" s="233"/>
      <c r="BQ754" s="233"/>
      <c r="BR754" s="233"/>
      <c r="BS754" s="233"/>
      <c r="BT754" s="233"/>
      <c r="BU754" s="233"/>
      <c r="BV754" s="233"/>
      <c r="BW754" s="233"/>
      <c r="BX754" s="233"/>
      <c r="BY754" s="233"/>
      <c r="BZ754" s="233"/>
      <c r="CA754" s="233"/>
    </row>
    <row r="755" spans="43:79" x14ac:dyDescent="0.25">
      <c r="AQ755" s="233"/>
      <c r="AR755" s="233"/>
      <c r="AS755" s="233"/>
      <c r="AT755" s="233"/>
      <c r="AU755" s="233"/>
      <c r="AV755" s="233"/>
      <c r="AW755" s="233"/>
      <c r="AX755" s="233"/>
      <c r="AY755" s="233"/>
      <c r="AZ755" s="233"/>
      <c r="BA755" s="233"/>
      <c r="BB755" s="233"/>
      <c r="BC755" s="233"/>
      <c r="BD755" s="233"/>
      <c r="BE755" s="233"/>
      <c r="BF755" s="233"/>
      <c r="BG755" s="233"/>
      <c r="BH755" s="233"/>
      <c r="BI755" s="233"/>
      <c r="BJ755" s="233"/>
      <c r="BK755" s="233"/>
      <c r="BL755" s="233"/>
      <c r="BM755" s="233"/>
      <c r="BN755" s="233"/>
      <c r="BO755" s="233"/>
      <c r="BP755" s="233"/>
      <c r="BQ755" s="233"/>
      <c r="BR755" s="233"/>
      <c r="BS755" s="233"/>
      <c r="BT755" s="233"/>
      <c r="BU755" s="233"/>
      <c r="BV755" s="233"/>
      <c r="BW755" s="233"/>
      <c r="BX755" s="233"/>
      <c r="BY755" s="233"/>
      <c r="BZ755" s="233"/>
      <c r="CA755" s="233"/>
    </row>
    <row r="756" spans="43:79" x14ac:dyDescent="0.25">
      <c r="AQ756" s="233"/>
      <c r="AR756" s="233"/>
      <c r="AS756" s="233"/>
      <c r="AT756" s="233"/>
      <c r="AU756" s="233"/>
      <c r="AV756" s="233"/>
      <c r="AW756" s="233"/>
      <c r="AX756" s="233"/>
      <c r="AY756" s="233"/>
      <c r="AZ756" s="233"/>
      <c r="BA756" s="233"/>
      <c r="BB756" s="233"/>
      <c r="BC756" s="233"/>
      <c r="BD756" s="233"/>
      <c r="BE756" s="233"/>
      <c r="BF756" s="233"/>
      <c r="BG756" s="233"/>
      <c r="BH756" s="233"/>
      <c r="BI756" s="233"/>
      <c r="BJ756" s="233"/>
      <c r="BK756" s="233"/>
      <c r="BL756" s="233"/>
      <c r="BM756" s="233"/>
      <c r="BN756" s="233"/>
      <c r="BO756" s="233"/>
      <c r="BP756" s="233"/>
      <c r="BQ756" s="233"/>
      <c r="BR756" s="233"/>
      <c r="BS756" s="233"/>
      <c r="BT756" s="233"/>
      <c r="BU756" s="233"/>
      <c r="BV756" s="233"/>
      <c r="BW756" s="233"/>
      <c r="BX756" s="233"/>
      <c r="BY756" s="233"/>
      <c r="BZ756" s="233"/>
      <c r="CA756" s="233"/>
    </row>
    <row r="757" spans="43:79" x14ac:dyDescent="0.25">
      <c r="AQ757" s="233"/>
      <c r="AR757" s="233"/>
      <c r="AS757" s="233"/>
      <c r="AT757" s="233"/>
      <c r="AU757" s="233"/>
      <c r="AV757" s="233"/>
      <c r="AW757" s="233"/>
      <c r="AX757" s="233"/>
      <c r="AY757" s="233"/>
      <c r="AZ757" s="233"/>
      <c r="BA757" s="233"/>
      <c r="BB757" s="233"/>
      <c r="BC757" s="233"/>
      <c r="BD757" s="233"/>
      <c r="BE757" s="233"/>
      <c r="BF757" s="233"/>
      <c r="BG757" s="233"/>
      <c r="BH757" s="233"/>
      <c r="BI757" s="233"/>
      <c r="BJ757" s="233"/>
      <c r="BK757" s="233"/>
      <c r="BL757" s="233"/>
      <c r="BM757" s="233"/>
      <c r="BN757" s="233"/>
      <c r="BO757" s="233"/>
      <c r="BP757" s="233"/>
      <c r="BQ757" s="233"/>
      <c r="BR757" s="233"/>
      <c r="BS757" s="233"/>
      <c r="BT757" s="233"/>
      <c r="BU757" s="233"/>
      <c r="BV757" s="233"/>
      <c r="BW757" s="233"/>
      <c r="BX757" s="233"/>
      <c r="BY757" s="233"/>
      <c r="BZ757" s="233"/>
      <c r="CA757" s="233"/>
    </row>
    <row r="758" spans="43:79" x14ac:dyDescent="0.25">
      <c r="AQ758" s="233"/>
      <c r="AR758" s="233"/>
      <c r="AS758" s="233"/>
      <c r="AT758" s="233"/>
      <c r="AU758" s="233"/>
      <c r="AV758" s="233"/>
      <c r="AW758" s="233"/>
      <c r="AX758" s="233"/>
      <c r="AY758" s="233"/>
      <c r="AZ758" s="233"/>
      <c r="BA758" s="233"/>
      <c r="BB758" s="233"/>
      <c r="BC758" s="233"/>
      <c r="BD758" s="233"/>
      <c r="BE758" s="233"/>
      <c r="BF758" s="233"/>
      <c r="BG758" s="233"/>
      <c r="BH758" s="233"/>
      <c r="BI758" s="233"/>
      <c r="BJ758" s="233"/>
      <c r="BK758" s="233"/>
      <c r="BL758" s="233"/>
      <c r="BM758" s="233"/>
      <c r="BN758" s="233"/>
      <c r="BO758" s="233"/>
      <c r="BP758" s="233"/>
      <c r="BQ758" s="233"/>
      <c r="BR758" s="233"/>
      <c r="BS758" s="233"/>
      <c r="BT758" s="233"/>
      <c r="BU758" s="233"/>
      <c r="BV758" s="233"/>
      <c r="BW758" s="233"/>
      <c r="BX758" s="233"/>
      <c r="BY758" s="233"/>
      <c r="BZ758" s="233"/>
      <c r="CA758" s="233"/>
    </row>
    <row r="759" spans="43:79" x14ac:dyDescent="0.25">
      <c r="AQ759" s="233"/>
      <c r="AR759" s="233"/>
      <c r="AS759" s="233"/>
      <c r="AT759" s="233"/>
      <c r="AU759" s="233"/>
      <c r="AV759" s="233"/>
      <c r="AW759" s="233"/>
      <c r="AX759" s="233"/>
      <c r="AY759" s="233"/>
      <c r="AZ759" s="233"/>
      <c r="BA759" s="233"/>
      <c r="BB759" s="233"/>
      <c r="BC759" s="233"/>
      <c r="BD759" s="233"/>
      <c r="BE759" s="233"/>
      <c r="BF759" s="233"/>
      <c r="BG759" s="233"/>
      <c r="BH759" s="233"/>
      <c r="BI759" s="233"/>
      <c r="BJ759" s="233"/>
      <c r="BK759" s="233"/>
      <c r="BL759" s="233"/>
      <c r="BM759" s="233"/>
      <c r="BN759" s="233"/>
      <c r="BO759" s="233"/>
      <c r="BP759" s="233"/>
      <c r="BQ759" s="233"/>
      <c r="BR759" s="233"/>
      <c r="BS759" s="233"/>
      <c r="BT759" s="233"/>
      <c r="BU759" s="233"/>
      <c r="BV759" s="233"/>
      <c r="BW759" s="233"/>
      <c r="BX759" s="233"/>
      <c r="BY759" s="233"/>
      <c r="BZ759" s="233"/>
      <c r="CA759" s="233"/>
    </row>
    <row r="760" spans="43:79" ht="15" customHeight="1" x14ac:dyDescent="0.25">
      <c r="AQ760" s="233"/>
      <c r="AR760" s="233"/>
      <c r="AS760" s="233"/>
      <c r="AT760" s="233"/>
      <c r="AU760" s="233"/>
      <c r="AV760" s="233"/>
      <c r="AW760" s="233"/>
      <c r="AX760" s="233"/>
      <c r="AY760" s="233"/>
      <c r="AZ760" s="233"/>
      <c r="BA760" s="233"/>
      <c r="BB760" s="233"/>
      <c r="BC760" s="233"/>
      <c r="BD760" s="233"/>
      <c r="BE760" s="233"/>
      <c r="BF760" s="233"/>
      <c r="BG760" s="233"/>
      <c r="BH760" s="233"/>
      <c r="BI760" s="233"/>
      <c r="BJ760" s="233"/>
      <c r="BK760" s="233"/>
      <c r="BL760" s="233"/>
      <c r="BM760" s="233"/>
      <c r="BN760" s="233"/>
      <c r="BO760" s="233"/>
      <c r="BP760" s="233"/>
      <c r="BQ760" s="233"/>
      <c r="BR760" s="233"/>
      <c r="BS760" s="233"/>
      <c r="BT760" s="233"/>
      <c r="BU760" s="233"/>
      <c r="BV760" s="233"/>
      <c r="BW760" s="233"/>
      <c r="BX760" s="233"/>
      <c r="BY760" s="233"/>
      <c r="BZ760" s="233"/>
      <c r="CA760" s="233"/>
    </row>
    <row r="761" spans="43:79" ht="15" customHeight="1" x14ac:dyDescent="0.25">
      <c r="AQ761" s="233"/>
      <c r="AR761" s="233"/>
      <c r="AS761" s="233"/>
      <c r="AT761" s="233"/>
      <c r="AU761" s="233"/>
      <c r="AV761" s="233"/>
      <c r="AW761" s="233"/>
      <c r="AX761" s="233"/>
      <c r="AY761" s="233"/>
      <c r="AZ761" s="233"/>
      <c r="BA761" s="233"/>
      <c r="BB761" s="233"/>
      <c r="BC761" s="233"/>
      <c r="BD761" s="233"/>
      <c r="BE761" s="233"/>
      <c r="BF761" s="233"/>
      <c r="BG761" s="233"/>
      <c r="BH761" s="233"/>
      <c r="BI761" s="233"/>
      <c r="BJ761" s="233"/>
      <c r="BK761" s="233"/>
      <c r="BL761" s="233"/>
      <c r="BM761" s="233"/>
      <c r="BN761" s="233"/>
      <c r="BO761" s="233"/>
      <c r="BP761" s="233"/>
      <c r="BQ761" s="233"/>
      <c r="BR761" s="233"/>
      <c r="BS761" s="233"/>
      <c r="BT761" s="233"/>
      <c r="BU761" s="233"/>
      <c r="BV761" s="233"/>
      <c r="BW761" s="233"/>
      <c r="BX761" s="233"/>
      <c r="BY761" s="233"/>
      <c r="BZ761" s="233"/>
      <c r="CA761" s="233"/>
    </row>
    <row r="762" spans="43:79" x14ac:dyDescent="0.25">
      <c r="AQ762" s="233"/>
      <c r="AR762" s="233"/>
      <c r="AS762" s="233"/>
      <c r="AT762" s="233"/>
      <c r="AU762" s="233"/>
      <c r="AV762" s="233"/>
      <c r="AW762" s="233"/>
      <c r="AX762" s="233"/>
      <c r="AY762" s="233"/>
      <c r="AZ762" s="233"/>
      <c r="BA762" s="233"/>
      <c r="BB762" s="233"/>
      <c r="BC762" s="233"/>
      <c r="BD762" s="233"/>
      <c r="BE762" s="233"/>
      <c r="BF762" s="233"/>
      <c r="BG762" s="233"/>
      <c r="BH762" s="233"/>
      <c r="BI762" s="233"/>
      <c r="BJ762" s="233"/>
      <c r="BK762" s="233"/>
      <c r="BL762" s="233"/>
      <c r="BM762" s="233"/>
      <c r="BN762" s="233"/>
      <c r="BO762" s="233"/>
      <c r="BP762" s="233"/>
      <c r="BQ762" s="233"/>
      <c r="BR762" s="233"/>
      <c r="BS762" s="233"/>
      <c r="BT762" s="233"/>
      <c r="BU762" s="233"/>
      <c r="BV762" s="233"/>
      <c r="BW762" s="233"/>
      <c r="BX762" s="233"/>
      <c r="BY762" s="233"/>
      <c r="BZ762" s="233"/>
      <c r="CA762" s="233"/>
    </row>
    <row r="763" spans="43:79" x14ac:dyDescent="0.25">
      <c r="AQ763" s="233"/>
      <c r="AR763" s="233"/>
      <c r="AS763" s="233"/>
      <c r="AT763" s="233"/>
      <c r="AU763" s="233"/>
      <c r="AV763" s="233"/>
      <c r="AW763" s="233"/>
      <c r="AX763" s="233"/>
      <c r="AY763" s="233"/>
      <c r="AZ763" s="233"/>
      <c r="BA763" s="233"/>
      <c r="BB763" s="233"/>
      <c r="BC763" s="233"/>
      <c r="BD763" s="233"/>
      <c r="BE763" s="233"/>
      <c r="BF763" s="233"/>
      <c r="BG763" s="233"/>
      <c r="BH763" s="233"/>
      <c r="BI763" s="233"/>
      <c r="BJ763" s="233"/>
      <c r="BK763" s="233"/>
      <c r="BL763" s="233"/>
      <c r="BM763" s="233"/>
      <c r="BN763" s="233"/>
      <c r="BO763" s="233"/>
      <c r="BP763" s="233"/>
      <c r="BQ763" s="233"/>
      <c r="BR763" s="233"/>
      <c r="BS763" s="233"/>
      <c r="BT763" s="233"/>
      <c r="BU763" s="233"/>
      <c r="BV763" s="233"/>
      <c r="BW763" s="233"/>
      <c r="BX763" s="233"/>
      <c r="BY763" s="233"/>
      <c r="BZ763" s="233"/>
      <c r="CA763" s="233"/>
    </row>
    <row r="764" spans="43:79" x14ac:dyDescent="0.25">
      <c r="AQ764" s="233"/>
      <c r="AR764" s="233"/>
      <c r="AS764" s="233"/>
      <c r="AT764" s="233"/>
      <c r="AU764" s="233"/>
      <c r="AV764" s="233"/>
      <c r="AW764" s="233"/>
      <c r="AX764" s="233"/>
      <c r="AY764" s="233"/>
      <c r="AZ764" s="233"/>
      <c r="BA764" s="233"/>
      <c r="BB764" s="233"/>
      <c r="BC764" s="233"/>
      <c r="BD764" s="233"/>
      <c r="BE764" s="233"/>
      <c r="BF764" s="233"/>
      <c r="BG764" s="233"/>
      <c r="BH764" s="233"/>
      <c r="BI764" s="233"/>
      <c r="BJ764" s="233"/>
      <c r="BK764" s="233"/>
      <c r="BL764" s="233"/>
      <c r="BM764" s="233"/>
      <c r="BN764" s="233"/>
      <c r="BO764" s="233"/>
      <c r="BP764" s="233"/>
      <c r="BQ764" s="233"/>
      <c r="BR764" s="233"/>
      <c r="BS764" s="233"/>
      <c r="BT764" s="233"/>
      <c r="BU764" s="233"/>
      <c r="BV764" s="233"/>
      <c r="BW764" s="233"/>
      <c r="BX764" s="233"/>
      <c r="BY764" s="233"/>
      <c r="BZ764" s="233"/>
      <c r="CA764" s="233"/>
    </row>
    <row r="765" spans="43:79" x14ac:dyDescent="0.25">
      <c r="AQ765" s="233"/>
      <c r="AR765" s="233"/>
      <c r="AS765" s="233"/>
      <c r="AT765" s="233"/>
      <c r="AU765" s="233"/>
      <c r="AV765" s="233"/>
      <c r="AW765" s="233"/>
      <c r="AX765" s="233"/>
      <c r="AY765" s="233"/>
      <c r="AZ765" s="233"/>
      <c r="BA765" s="233"/>
      <c r="BB765" s="233"/>
      <c r="BC765" s="233"/>
      <c r="BD765" s="233"/>
      <c r="BE765" s="233"/>
      <c r="BF765" s="233"/>
      <c r="BG765" s="233"/>
      <c r="BH765" s="233"/>
      <c r="BI765" s="233"/>
      <c r="BJ765" s="233"/>
      <c r="BK765" s="233"/>
      <c r="BL765" s="233"/>
      <c r="BM765" s="233"/>
      <c r="BN765" s="233"/>
      <c r="BO765" s="233"/>
      <c r="BP765" s="233"/>
      <c r="BQ765" s="233"/>
      <c r="BR765" s="233"/>
      <c r="BS765" s="233"/>
      <c r="BT765" s="233"/>
      <c r="BU765" s="233"/>
      <c r="BV765" s="233"/>
      <c r="BW765" s="233"/>
      <c r="BX765" s="233"/>
      <c r="BY765" s="233"/>
      <c r="BZ765" s="233"/>
      <c r="CA765" s="233"/>
    </row>
    <row r="766" spans="43:79" x14ac:dyDescent="0.25">
      <c r="AQ766" s="233"/>
      <c r="AR766" s="233"/>
      <c r="AS766" s="233"/>
      <c r="AT766" s="233"/>
      <c r="AU766" s="233"/>
      <c r="AV766" s="233"/>
      <c r="AW766" s="233"/>
      <c r="AX766" s="233"/>
      <c r="AY766" s="233"/>
      <c r="AZ766" s="233"/>
      <c r="BA766" s="233"/>
      <c r="BB766" s="233"/>
      <c r="BC766" s="233"/>
      <c r="BD766" s="233"/>
      <c r="BE766" s="233"/>
      <c r="BF766" s="233"/>
      <c r="BG766" s="233"/>
      <c r="BH766" s="233"/>
      <c r="BI766" s="233"/>
      <c r="BJ766" s="233"/>
      <c r="BK766" s="233"/>
      <c r="BL766" s="233"/>
      <c r="BM766" s="233"/>
      <c r="BN766" s="233"/>
      <c r="BO766" s="233"/>
      <c r="BP766" s="233"/>
      <c r="BQ766" s="233"/>
      <c r="BR766" s="233"/>
      <c r="BS766" s="233"/>
      <c r="BT766" s="233"/>
      <c r="BU766" s="233"/>
      <c r="BV766" s="233"/>
      <c r="BW766" s="233"/>
      <c r="BX766" s="233"/>
      <c r="BY766" s="233"/>
      <c r="BZ766" s="233"/>
      <c r="CA766" s="233"/>
    </row>
    <row r="767" spans="43:79" x14ac:dyDescent="0.25">
      <c r="AQ767" s="233"/>
      <c r="AR767" s="233"/>
      <c r="AS767" s="233"/>
      <c r="AT767" s="233"/>
      <c r="AU767" s="233"/>
      <c r="AV767" s="233"/>
      <c r="AW767" s="233"/>
      <c r="AX767" s="233"/>
      <c r="AY767" s="233"/>
      <c r="AZ767" s="233"/>
      <c r="BA767" s="233"/>
      <c r="BB767" s="233"/>
      <c r="BC767" s="233"/>
      <c r="BD767" s="233"/>
      <c r="BE767" s="233"/>
      <c r="BF767" s="233"/>
      <c r="BG767" s="233"/>
      <c r="BH767" s="233"/>
      <c r="BI767" s="233"/>
      <c r="BJ767" s="233"/>
      <c r="BK767" s="233"/>
      <c r="BL767" s="233"/>
      <c r="BM767" s="233"/>
      <c r="BN767" s="233"/>
      <c r="BO767" s="233"/>
      <c r="BP767" s="233"/>
      <c r="BQ767" s="233"/>
      <c r="BR767" s="233"/>
      <c r="BS767" s="233"/>
      <c r="BT767" s="233"/>
      <c r="BU767" s="233"/>
      <c r="BV767" s="233"/>
      <c r="BW767" s="233"/>
      <c r="BX767" s="233"/>
      <c r="BY767" s="233"/>
      <c r="BZ767" s="233"/>
      <c r="CA767" s="233"/>
    </row>
    <row r="768" spans="43:79" x14ac:dyDescent="0.25">
      <c r="AQ768" s="233"/>
      <c r="AR768" s="233"/>
      <c r="AS768" s="233"/>
      <c r="AT768" s="233"/>
      <c r="AU768" s="233"/>
      <c r="AV768" s="233"/>
      <c r="AW768" s="233"/>
      <c r="AX768" s="233"/>
      <c r="AY768" s="233"/>
      <c r="AZ768" s="233"/>
      <c r="BA768" s="233"/>
      <c r="BB768" s="233"/>
      <c r="BC768" s="233"/>
      <c r="BD768" s="233"/>
      <c r="BE768" s="233"/>
      <c r="BF768" s="233"/>
      <c r="BG768" s="233"/>
      <c r="BH768" s="233"/>
      <c r="BI768" s="233"/>
      <c r="BJ768" s="233"/>
      <c r="BK768" s="233"/>
      <c r="BL768" s="233"/>
      <c r="BM768" s="233"/>
      <c r="BN768" s="233"/>
      <c r="BO768" s="233"/>
      <c r="BP768" s="233"/>
      <c r="BQ768" s="233"/>
      <c r="BR768" s="233"/>
      <c r="BS768" s="233"/>
      <c r="BT768" s="233"/>
      <c r="BU768" s="233"/>
      <c r="BV768" s="233"/>
      <c r="BW768" s="233"/>
      <c r="BX768" s="233"/>
      <c r="BY768" s="233"/>
      <c r="BZ768" s="233"/>
      <c r="CA768" s="233"/>
    </row>
    <row r="769" spans="43:79" x14ac:dyDescent="0.25">
      <c r="AQ769" s="233"/>
      <c r="AR769" s="233"/>
      <c r="AS769" s="233"/>
      <c r="AT769" s="233"/>
      <c r="AU769" s="233"/>
      <c r="AV769" s="233"/>
      <c r="AW769" s="233"/>
      <c r="AX769" s="233"/>
      <c r="AY769" s="233"/>
      <c r="AZ769" s="233"/>
      <c r="BA769" s="233"/>
      <c r="BB769" s="233"/>
      <c r="BC769" s="233"/>
      <c r="BD769" s="233"/>
      <c r="BE769" s="233"/>
      <c r="BF769" s="233"/>
      <c r="BG769" s="233"/>
      <c r="BH769" s="233"/>
      <c r="BI769" s="233"/>
      <c r="BJ769" s="233"/>
      <c r="BK769" s="233"/>
      <c r="BL769" s="233"/>
      <c r="BM769" s="233"/>
      <c r="BN769" s="233"/>
      <c r="BO769" s="233"/>
      <c r="BP769" s="233"/>
      <c r="BQ769" s="233"/>
      <c r="BR769" s="233"/>
      <c r="BS769" s="233"/>
      <c r="BT769" s="233"/>
      <c r="BU769" s="233"/>
      <c r="BV769" s="233"/>
      <c r="BW769" s="233"/>
      <c r="BX769" s="233"/>
      <c r="BY769" s="233"/>
      <c r="BZ769" s="233"/>
      <c r="CA769" s="233"/>
    </row>
    <row r="770" spans="43:79" x14ac:dyDescent="0.25">
      <c r="AQ770" s="233"/>
      <c r="AR770" s="233"/>
      <c r="AS770" s="233"/>
      <c r="AT770" s="233"/>
      <c r="AU770" s="233"/>
      <c r="AV770" s="233"/>
      <c r="AW770" s="233"/>
      <c r="AX770" s="233"/>
      <c r="AY770" s="233"/>
      <c r="AZ770" s="233"/>
      <c r="BA770" s="233"/>
      <c r="BB770" s="233"/>
      <c r="BC770" s="233"/>
      <c r="BD770" s="233"/>
      <c r="BE770" s="233"/>
      <c r="BF770" s="233"/>
      <c r="BG770" s="233"/>
      <c r="BH770" s="233"/>
      <c r="BI770" s="233"/>
      <c r="BJ770" s="233"/>
      <c r="BK770" s="233"/>
      <c r="BL770" s="233"/>
      <c r="BM770" s="233"/>
      <c r="BN770" s="233"/>
      <c r="BO770" s="233"/>
      <c r="BP770" s="233"/>
      <c r="BQ770" s="233"/>
      <c r="BR770" s="233"/>
      <c r="BS770" s="233"/>
      <c r="BT770" s="233"/>
      <c r="BU770" s="233"/>
      <c r="BV770" s="233"/>
      <c r="BW770" s="233"/>
      <c r="BX770" s="233"/>
      <c r="BY770" s="233"/>
      <c r="BZ770" s="233"/>
      <c r="CA770" s="233"/>
    </row>
    <row r="771" spans="43:79" x14ac:dyDescent="0.25">
      <c r="AQ771" s="233"/>
      <c r="AR771" s="233"/>
      <c r="AS771" s="233"/>
      <c r="AT771" s="233"/>
      <c r="AU771" s="233"/>
      <c r="AV771" s="233"/>
      <c r="AW771" s="233"/>
      <c r="AX771" s="233"/>
      <c r="AY771" s="233"/>
      <c r="AZ771" s="233"/>
      <c r="BA771" s="233"/>
      <c r="BB771" s="233"/>
      <c r="BC771" s="233"/>
      <c r="BD771" s="233"/>
      <c r="BE771" s="233"/>
      <c r="BF771" s="233"/>
      <c r="BG771" s="233"/>
      <c r="BH771" s="233"/>
      <c r="BI771" s="233"/>
      <c r="BJ771" s="233"/>
      <c r="BK771" s="233"/>
      <c r="BL771" s="233"/>
      <c r="BM771" s="233"/>
      <c r="BN771" s="233"/>
      <c r="BO771" s="233"/>
      <c r="BP771" s="233"/>
      <c r="BQ771" s="233"/>
      <c r="BR771" s="233"/>
      <c r="BS771" s="233"/>
      <c r="BT771" s="233"/>
      <c r="BU771" s="233"/>
      <c r="BV771" s="233"/>
      <c r="BW771" s="233"/>
      <c r="BX771" s="233"/>
      <c r="BY771" s="233"/>
      <c r="BZ771" s="233"/>
      <c r="CA771" s="233"/>
    </row>
    <row r="772" spans="43:79" x14ac:dyDescent="0.25">
      <c r="AQ772" s="233"/>
      <c r="AR772" s="233"/>
      <c r="AS772" s="233"/>
      <c r="AT772" s="233"/>
      <c r="AU772" s="233"/>
      <c r="AV772" s="233"/>
      <c r="AW772" s="233"/>
      <c r="AX772" s="233"/>
      <c r="AY772" s="233"/>
      <c r="AZ772" s="233"/>
      <c r="BA772" s="233"/>
      <c r="BB772" s="233"/>
      <c r="BC772" s="233"/>
      <c r="BD772" s="233"/>
      <c r="BE772" s="233"/>
      <c r="BF772" s="233"/>
      <c r="BG772" s="233"/>
      <c r="BH772" s="233"/>
      <c r="BI772" s="233"/>
      <c r="BJ772" s="233"/>
      <c r="BK772" s="233"/>
      <c r="BL772" s="233"/>
      <c r="BM772" s="233"/>
      <c r="BN772" s="233"/>
      <c r="BO772" s="233"/>
      <c r="BP772" s="233"/>
      <c r="BQ772" s="233"/>
      <c r="BR772" s="233"/>
      <c r="BS772" s="233"/>
      <c r="BT772" s="233"/>
      <c r="BU772" s="233"/>
      <c r="BV772" s="233"/>
      <c r="BW772" s="233"/>
      <c r="BX772" s="233"/>
      <c r="BY772" s="233"/>
      <c r="BZ772" s="233"/>
      <c r="CA772" s="233"/>
    </row>
    <row r="773" spans="43:79" x14ac:dyDescent="0.25">
      <c r="AQ773" s="233"/>
      <c r="AR773" s="233"/>
      <c r="AS773" s="233"/>
      <c r="AT773" s="233"/>
      <c r="AU773" s="233"/>
      <c r="AV773" s="233"/>
      <c r="AW773" s="233"/>
      <c r="AX773" s="233"/>
      <c r="AY773" s="233"/>
      <c r="AZ773" s="233"/>
      <c r="BA773" s="233"/>
      <c r="BB773" s="233"/>
      <c r="BC773" s="233"/>
      <c r="BD773" s="233"/>
      <c r="BE773" s="233"/>
      <c r="BF773" s="233"/>
      <c r="BG773" s="233"/>
      <c r="BH773" s="233"/>
      <c r="BI773" s="233"/>
      <c r="BJ773" s="233"/>
      <c r="BK773" s="233"/>
      <c r="BL773" s="233"/>
      <c r="BM773" s="233"/>
      <c r="BN773" s="233"/>
      <c r="BO773" s="233"/>
      <c r="BP773" s="233"/>
      <c r="BQ773" s="233"/>
      <c r="BR773" s="233"/>
      <c r="BS773" s="233"/>
      <c r="BT773" s="233"/>
      <c r="BU773" s="233"/>
      <c r="BV773" s="233"/>
      <c r="BW773" s="233"/>
      <c r="BX773" s="233"/>
      <c r="BY773" s="233"/>
      <c r="BZ773" s="233"/>
      <c r="CA773" s="233"/>
    </row>
    <row r="774" spans="43:79" x14ac:dyDescent="0.25">
      <c r="AQ774" s="233"/>
      <c r="AR774" s="233"/>
      <c r="AS774" s="233"/>
      <c r="AT774" s="233"/>
      <c r="AU774" s="233"/>
      <c r="AV774" s="233"/>
      <c r="AW774" s="233"/>
      <c r="AX774" s="233"/>
      <c r="AY774" s="233"/>
      <c r="AZ774" s="233"/>
      <c r="BA774" s="233"/>
      <c r="BB774" s="233"/>
      <c r="BC774" s="233"/>
      <c r="BD774" s="233"/>
      <c r="BE774" s="233"/>
      <c r="BF774" s="233"/>
      <c r="BG774" s="233"/>
      <c r="BH774" s="233"/>
      <c r="BI774" s="233"/>
      <c r="BJ774" s="233"/>
      <c r="BK774" s="233"/>
      <c r="BL774" s="233"/>
      <c r="BM774" s="233"/>
      <c r="BN774" s="233"/>
      <c r="BO774" s="233"/>
      <c r="BP774" s="233"/>
      <c r="BQ774" s="233"/>
      <c r="BR774" s="233"/>
      <c r="BS774" s="233"/>
      <c r="BT774" s="233"/>
      <c r="BU774" s="233"/>
      <c r="BV774" s="233"/>
      <c r="BW774" s="233"/>
      <c r="BX774" s="233"/>
      <c r="BY774" s="233"/>
      <c r="BZ774" s="233"/>
      <c r="CA774" s="233"/>
    </row>
    <row r="775" spans="43:79" x14ac:dyDescent="0.25">
      <c r="AQ775" s="233"/>
      <c r="AR775" s="233"/>
      <c r="AS775" s="233"/>
      <c r="AT775" s="233"/>
      <c r="AU775" s="233"/>
      <c r="AV775" s="233"/>
      <c r="AW775" s="233"/>
      <c r="AX775" s="233"/>
      <c r="AY775" s="233"/>
      <c r="AZ775" s="233"/>
      <c r="BA775" s="233"/>
      <c r="BB775" s="233"/>
      <c r="BC775" s="233"/>
      <c r="BD775" s="233"/>
      <c r="BE775" s="233"/>
      <c r="BF775" s="233"/>
      <c r="BG775" s="233"/>
      <c r="BH775" s="233"/>
      <c r="BI775" s="233"/>
      <c r="BJ775" s="233"/>
      <c r="BK775" s="233"/>
      <c r="BL775" s="233"/>
      <c r="BM775" s="233"/>
      <c r="BN775" s="233"/>
      <c r="BO775" s="233"/>
      <c r="BP775" s="233"/>
      <c r="BQ775" s="233"/>
      <c r="BR775" s="233"/>
      <c r="BS775" s="233"/>
      <c r="BT775" s="233"/>
      <c r="BU775" s="233"/>
      <c r="BV775" s="233"/>
      <c r="BW775" s="233"/>
      <c r="BX775" s="233"/>
      <c r="BY775" s="233"/>
      <c r="BZ775" s="233"/>
      <c r="CA775" s="233"/>
    </row>
    <row r="776" spans="43:79" x14ac:dyDescent="0.25">
      <c r="AQ776" s="233"/>
      <c r="AR776" s="233"/>
      <c r="AS776" s="233"/>
      <c r="AT776" s="233"/>
      <c r="AU776" s="233"/>
      <c r="AV776" s="233"/>
      <c r="AW776" s="233"/>
      <c r="AX776" s="233"/>
      <c r="AY776" s="233"/>
      <c r="AZ776" s="233"/>
      <c r="BA776" s="233"/>
      <c r="BB776" s="233"/>
      <c r="BC776" s="233"/>
      <c r="BD776" s="233"/>
      <c r="BE776" s="233"/>
      <c r="BF776" s="233"/>
      <c r="BG776" s="233"/>
      <c r="BH776" s="233"/>
      <c r="BI776" s="233"/>
      <c r="BJ776" s="233"/>
      <c r="BK776" s="233"/>
      <c r="BL776" s="233"/>
      <c r="BM776" s="233"/>
      <c r="BN776" s="233"/>
      <c r="BO776" s="233"/>
      <c r="BP776" s="233"/>
      <c r="BQ776" s="233"/>
      <c r="BR776" s="233"/>
      <c r="BS776" s="233"/>
      <c r="BT776" s="233"/>
      <c r="BU776" s="233"/>
      <c r="BV776" s="233"/>
      <c r="BW776" s="233"/>
      <c r="BX776" s="233"/>
      <c r="BY776" s="233"/>
      <c r="BZ776" s="233"/>
      <c r="CA776" s="233"/>
    </row>
    <row r="777" spans="43:79" x14ac:dyDescent="0.25">
      <c r="AQ777" s="233"/>
      <c r="AR777" s="233"/>
      <c r="AS777" s="233"/>
      <c r="AT777" s="233"/>
      <c r="AU777" s="233"/>
      <c r="AV777" s="233"/>
      <c r="AW777" s="233"/>
      <c r="AX777" s="233"/>
      <c r="AY777" s="233"/>
      <c r="AZ777" s="233"/>
      <c r="BA777" s="233"/>
      <c r="BB777" s="233"/>
      <c r="BC777" s="233"/>
      <c r="BD777" s="233"/>
      <c r="BE777" s="233"/>
      <c r="BF777" s="233"/>
      <c r="BG777" s="233"/>
      <c r="BH777" s="233"/>
      <c r="BI777" s="233"/>
      <c r="BJ777" s="233"/>
      <c r="BK777" s="233"/>
      <c r="BL777" s="233"/>
      <c r="BM777" s="233"/>
      <c r="BN777" s="233"/>
      <c r="BO777" s="233"/>
      <c r="BP777" s="233"/>
      <c r="BQ777" s="233"/>
      <c r="BR777" s="233"/>
      <c r="BS777" s="233"/>
      <c r="BT777" s="233"/>
      <c r="BU777" s="233"/>
      <c r="BV777" s="233"/>
      <c r="BW777" s="233"/>
      <c r="BX777" s="233"/>
      <c r="BY777" s="233"/>
      <c r="BZ777" s="233"/>
      <c r="CA777" s="233"/>
    </row>
    <row r="778" spans="43:79" x14ac:dyDescent="0.25">
      <c r="AQ778" s="233"/>
      <c r="AR778" s="233"/>
      <c r="AS778" s="233"/>
      <c r="AT778" s="233"/>
      <c r="AU778" s="233"/>
      <c r="AV778" s="233"/>
      <c r="AW778" s="233"/>
      <c r="AX778" s="233"/>
      <c r="AY778" s="233"/>
      <c r="AZ778" s="233"/>
      <c r="BA778" s="233"/>
      <c r="BB778" s="233"/>
      <c r="BC778" s="233"/>
      <c r="BD778" s="233"/>
      <c r="BE778" s="233"/>
      <c r="BF778" s="233"/>
      <c r="BG778" s="233"/>
      <c r="BH778" s="233"/>
      <c r="BI778" s="233"/>
      <c r="BJ778" s="233"/>
      <c r="BK778" s="233"/>
      <c r="BL778" s="233"/>
      <c r="BM778" s="233"/>
      <c r="BN778" s="233"/>
      <c r="BO778" s="233"/>
      <c r="BP778" s="233"/>
      <c r="BQ778" s="233"/>
      <c r="BR778" s="233"/>
      <c r="BS778" s="233"/>
      <c r="BT778" s="233"/>
      <c r="BU778" s="233"/>
      <c r="BV778" s="233"/>
      <c r="BW778" s="233"/>
      <c r="BX778" s="233"/>
      <c r="BY778" s="233"/>
      <c r="BZ778" s="233"/>
      <c r="CA778" s="233"/>
    </row>
    <row r="779" spans="43:79" x14ac:dyDescent="0.25">
      <c r="AQ779" s="233"/>
      <c r="AR779" s="233"/>
      <c r="AS779" s="233"/>
      <c r="AT779" s="233"/>
      <c r="AU779" s="233"/>
      <c r="AV779" s="233"/>
      <c r="AW779" s="233"/>
      <c r="AX779" s="233"/>
      <c r="AY779" s="233"/>
      <c r="AZ779" s="233"/>
      <c r="BA779" s="233"/>
      <c r="BB779" s="233"/>
      <c r="BC779" s="233"/>
      <c r="BD779" s="233"/>
      <c r="BE779" s="233"/>
      <c r="BF779" s="233"/>
      <c r="BG779" s="233"/>
      <c r="BH779" s="233"/>
      <c r="BI779" s="233"/>
      <c r="BJ779" s="233"/>
      <c r="BK779" s="233"/>
      <c r="BL779" s="233"/>
      <c r="BM779" s="233"/>
      <c r="BN779" s="233"/>
      <c r="BO779" s="233"/>
      <c r="BP779" s="233"/>
      <c r="BQ779" s="233"/>
      <c r="BR779" s="233"/>
      <c r="BS779" s="233"/>
      <c r="BT779" s="233"/>
      <c r="BU779" s="233"/>
      <c r="BV779" s="233"/>
      <c r="BW779" s="233"/>
      <c r="BX779" s="233"/>
      <c r="BY779" s="233"/>
      <c r="BZ779" s="233"/>
      <c r="CA779" s="233"/>
    </row>
    <row r="780" spans="43:79" x14ac:dyDescent="0.25">
      <c r="AQ780" s="233"/>
      <c r="AR780" s="233"/>
      <c r="AS780" s="233"/>
      <c r="AT780" s="233"/>
      <c r="AU780" s="233"/>
      <c r="AV780" s="233"/>
      <c r="AW780" s="233"/>
      <c r="AX780" s="233"/>
      <c r="AY780" s="233"/>
      <c r="AZ780" s="233"/>
      <c r="BA780" s="233"/>
      <c r="BB780" s="233"/>
      <c r="BC780" s="233"/>
      <c r="BD780" s="233"/>
      <c r="BE780" s="233"/>
      <c r="BF780" s="233"/>
      <c r="BG780" s="233"/>
      <c r="BH780" s="233"/>
      <c r="BI780" s="233"/>
      <c r="BJ780" s="233"/>
      <c r="BK780" s="233"/>
      <c r="BL780" s="233"/>
      <c r="BM780" s="233"/>
      <c r="BN780" s="233"/>
      <c r="BO780" s="233"/>
      <c r="BP780" s="233"/>
      <c r="BQ780" s="233"/>
      <c r="BR780" s="233"/>
      <c r="BS780" s="233"/>
      <c r="BT780" s="233"/>
      <c r="BU780" s="233"/>
      <c r="BV780" s="233"/>
      <c r="BW780" s="233"/>
      <c r="BX780" s="233"/>
      <c r="BY780" s="233"/>
      <c r="BZ780" s="233"/>
      <c r="CA780" s="233"/>
    </row>
    <row r="781" spans="43:79" x14ac:dyDescent="0.25">
      <c r="AQ781" s="233"/>
      <c r="AR781" s="233"/>
      <c r="AS781" s="233"/>
      <c r="AT781" s="233"/>
      <c r="AU781" s="233"/>
      <c r="AV781" s="233"/>
      <c r="AW781" s="233"/>
      <c r="AX781" s="233"/>
      <c r="AY781" s="233"/>
      <c r="AZ781" s="233"/>
      <c r="BA781" s="233"/>
      <c r="BB781" s="233"/>
      <c r="BC781" s="233"/>
      <c r="BD781" s="233"/>
      <c r="BE781" s="233"/>
      <c r="BF781" s="233"/>
      <c r="BG781" s="233"/>
      <c r="BH781" s="233"/>
      <c r="BI781" s="233"/>
      <c r="BJ781" s="233"/>
      <c r="BK781" s="233"/>
      <c r="BL781" s="233"/>
      <c r="BM781" s="233"/>
      <c r="BN781" s="233"/>
      <c r="BO781" s="233"/>
      <c r="BP781" s="233"/>
      <c r="BQ781" s="233"/>
      <c r="BR781" s="233"/>
      <c r="BS781" s="233"/>
      <c r="BT781" s="233"/>
      <c r="BU781" s="233"/>
      <c r="BV781" s="233"/>
      <c r="BW781" s="233"/>
      <c r="BX781" s="233"/>
      <c r="BY781" s="233"/>
      <c r="BZ781" s="233"/>
      <c r="CA781" s="233"/>
    </row>
    <row r="782" spans="43:79" x14ac:dyDescent="0.25">
      <c r="AQ782" s="233"/>
      <c r="AR782" s="233"/>
      <c r="AS782" s="233"/>
      <c r="AT782" s="233"/>
      <c r="AU782" s="233"/>
      <c r="AV782" s="233"/>
      <c r="AW782" s="233"/>
      <c r="AX782" s="233"/>
      <c r="AY782" s="233"/>
      <c r="AZ782" s="233"/>
      <c r="BA782" s="233"/>
      <c r="BB782" s="233"/>
      <c r="BC782" s="233"/>
      <c r="BD782" s="233"/>
      <c r="BE782" s="233"/>
      <c r="BF782" s="233"/>
      <c r="BG782" s="233"/>
      <c r="BH782" s="233"/>
      <c r="BI782" s="233"/>
      <c r="BJ782" s="233"/>
      <c r="BK782" s="233"/>
      <c r="BL782" s="233"/>
      <c r="BM782" s="233"/>
      <c r="BN782" s="233"/>
      <c r="BO782" s="233"/>
      <c r="BP782" s="233"/>
      <c r="BQ782" s="233"/>
      <c r="BR782" s="233"/>
      <c r="BS782" s="233"/>
      <c r="BT782" s="233"/>
      <c r="BU782" s="233"/>
      <c r="BV782" s="233"/>
      <c r="BW782" s="233"/>
      <c r="BX782" s="233"/>
      <c r="BY782" s="233"/>
      <c r="BZ782" s="233"/>
      <c r="CA782" s="233"/>
    </row>
    <row r="783" spans="43:79" x14ac:dyDescent="0.25">
      <c r="AQ783" s="233"/>
      <c r="AR783" s="233"/>
      <c r="AS783" s="233"/>
      <c r="AT783" s="233"/>
      <c r="AU783" s="233"/>
      <c r="AV783" s="233"/>
      <c r="AW783" s="233"/>
      <c r="AX783" s="233"/>
      <c r="AY783" s="233"/>
      <c r="AZ783" s="233"/>
      <c r="BA783" s="233"/>
      <c r="BB783" s="233"/>
      <c r="BC783" s="233"/>
      <c r="BD783" s="233"/>
      <c r="BE783" s="233"/>
      <c r="BF783" s="233"/>
      <c r="BG783" s="233"/>
      <c r="BH783" s="233"/>
      <c r="BI783" s="233"/>
      <c r="BJ783" s="233"/>
      <c r="BK783" s="233"/>
      <c r="BL783" s="233"/>
      <c r="BM783" s="233"/>
      <c r="BN783" s="233"/>
      <c r="BO783" s="233"/>
      <c r="BP783" s="233"/>
      <c r="BQ783" s="233"/>
      <c r="BR783" s="233"/>
      <c r="BS783" s="233"/>
      <c r="BT783" s="233"/>
      <c r="BU783" s="233"/>
      <c r="BV783" s="233"/>
      <c r="BW783" s="233"/>
      <c r="BX783" s="233"/>
      <c r="BY783" s="233"/>
      <c r="BZ783" s="233"/>
      <c r="CA783" s="233"/>
    </row>
    <row r="784" spans="43:79" x14ac:dyDescent="0.25">
      <c r="AQ784" s="233"/>
      <c r="AR784" s="233"/>
      <c r="AS784" s="233"/>
      <c r="AT784" s="233"/>
      <c r="AU784" s="233"/>
      <c r="AV784" s="233"/>
      <c r="AW784" s="233"/>
      <c r="AX784" s="233"/>
      <c r="AY784" s="233"/>
      <c r="AZ784" s="233"/>
      <c r="BA784" s="233"/>
      <c r="BB784" s="233"/>
      <c r="BC784" s="233"/>
      <c r="BD784" s="233"/>
      <c r="BE784" s="233"/>
      <c r="BF784" s="233"/>
      <c r="BG784" s="233"/>
      <c r="BH784" s="233"/>
      <c r="BI784" s="233"/>
      <c r="BJ784" s="233"/>
      <c r="BK784" s="233"/>
      <c r="BL784" s="233"/>
      <c r="BM784" s="233"/>
      <c r="BN784" s="233"/>
      <c r="BO784" s="233"/>
      <c r="BP784" s="233"/>
      <c r="BQ784" s="233"/>
      <c r="BR784" s="233"/>
      <c r="BS784" s="233"/>
      <c r="BT784" s="233"/>
      <c r="BU784" s="233"/>
      <c r="BV784" s="233"/>
      <c r="BW784" s="233"/>
      <c r="BX784" s="233"/>
      <c r="BY784" s="233"/>
      <c r="BZ784" s="233"/>
      <c r="CA784" s="233"/>
    </row>
    <row r="785" spans="43:79" x14ac:dyDescent="0.25">
      <c r="AQ785" s="233"/>
      <c r="AR785" s="233"/>
      <c r="AS785" s="233"/>
      <c r="AT785" s="233"/>
      <c r="AU785" s="233"/>
      <c r="AV785" s="233"/>
      <c r="AW785" s="233"/>
      <c r="AX785" s="233"/>
      <c r="AY785" s="233"/>
      <c r="AZ785" s="233"/>
      <c r="BA785" s="233"/>
      <c r="BB785" s="233"/>
      <c r="BC785" s="233"/>
      <c r="BD785" s="233"/>
      <c r="BE785" s="233"/>
      <c r="BF785" s="233"/>
      <c r="BG785" s="233"/>
      <c r="BH785" s="233"/>
      <c r="BI785" s="233"/>
      <c r="BJ785" s="233"/>
      <c r="BK785" s="233"/>
      <c r="BL785" s="233"/>
      <c r="BM785" s="233"/>
      <c r="BN785" s="233"/>
      <c r="BO785" s="233"/>
      <c r="BP785" s="233"/>
      <c r="BQ785" s="233"/>
      <c r="BR785" s="233"/>
      <c r="BS785" s="233"/>
      <c r="BT785" s="233"/>
      <c r="BU785" s="233"/>
      <c r="BV785" s="233"/>
      <c r="BW785" s="233"/>
      <c r="BX785" s="233"/>
      <c r="BY785" s="233"/>
      <c r="BZ785" s="233"/>
      <c r="CA785" s="233"/>
    </row>
    <row r="786" spans="43:79" x14ac:dyDescent="0.25">
      <c r="AQ786" s="233"/>
      <c r="AR786" s="233"/>
      <c r="AS786" s="233"/>
      <c r="AT786" s="233"/>
      <c r="AU786" s="233"/>
      <c r="AV786" s="233"/>
      <c r="AW786" s="233"/>
      <c r="AX786" s="233"/>
      <c r="AY786" s="233"/>
      <c r="AZ786" s="233"/>
      <c r="BA786" s="233"/>
      <c r="BB786" s="233"/>
      <c r="BC786" s="233"/>
      <c r="BD786" s="233"/>
      <c r="BE786" s="233"/>
      <c r="BF786" s="233"/>
      <c r="BG786" s="233"/>
      <c r="BH786" s="233"/>
      <c r="BI786" s="233"/>
      <c r="BJ786" s="233"/>
      <c r="BK786" s="233"/>
      <c r="BL786" s="233"/>
      <c r="BM786" s="233"/>
      <c r="BN786" s="233"/>
      <c r="BO786" s="233"/>
      <c r="BP786" s="233"/>
      <c r="BQ786" s="233"/>
      <c r="BR786" s="233"/>
      <c r="BS786" s="233"/>
      <c r="BT786" s="233"/>
      <c r="BU786" s="233"/>
      <c r="BV786" s="233"/>
      <c r="BW786" s="233"/>
      <c r="BX786" s="233"/>
      <c r="BY786" s="233"/>
      <c r="BZ786" s="233"/>
      <c r="CA786" s="233"/>
    </row>
    <row r="787" spans="43:79" x14ac:dyDescent="0.25">
      <c r="AQ787" s="233"/>
      <c r="AR787" s="233"/>
      <c r="AS787" s="233"/>
      <c r="AT787" s="233"/>
      <c r="AU787" s="233"/>
      <c r="AV787" s="233"/>
      <c r="AW787" s="233"/>
      <c r="AX787" s="233"/>
      <c r="AY787" s="233"/>
      <c r="AZ787" s="233"/>
      <c r="BA787" s="233"/>
      <c r="BB787" s="233"/>
      <c r="BC787" s="233"/>
      <c r="BD787" s="233"/>
      <c r="BE787" s="233"/>
      <c r="BF787" s="233"/>
      <c r="BG787" s="233"/>
      <c r="BH787" s="233"/>
      <c r="BI787" s="233"/>
      <c r="BJ787" s="233"/>
      <c r="BK787" s="233"/>
      <c r="BL787" s="233"/>
      <c r="BM787" s="233"/>
      <c r="BN787" s="233"/>
      <c r="BO787" s="233"/>
      <c r="BP787" s="233"/>
      <c r="BQ787" s="233"/>
      <c r="BR787" s="233"/>
      <c r="BS787" s="233"/>
      <c r="BT787" s="233"/>
      <c r="BU787" s="233"/>
      <c r="BV787" s="233"/>
      <c r="BW787" s="233"/>
      <c r="BX787" s="233"/>
      <c r="BY787" s="233"/>
      <c r="BZ787" s="233"/>
      <c r="CA787" s="233"/>
    </row>
    <row r="788" spans="43:79" x14ac:dyDescent="0.25">
      <c r="AQ788" s="233"/>
      <c r="AR788" s="233"/>
      <c r="AS788" s="233"/>
      <c r="AT788" s="233"/>
      <c r="AU788" s="233"/>
      <c r="AV788" s="233"/>
      <c r="AW788" s="233"/>
      <c r="AX788" s="233"/>
      <c r="AY788" s="233"/>
      <c r="AZ788" s="233"/>
      <c r="BA788" s="233"/>
      <c r="BB788" s="233"/>
      <c r="BC788" s="233"/>
      <c r="BD788" s="233"/>
      <c r="BE788" s="233"/>
      <c r="BF788" s="233"/>
      <c r="BG788" s="233"/>
      <c r="BH788" s="233"/>
      <c r="BI788" s="233"/>
      <c r="BJ788" s="233"/>
      <c r="BK788" s="233"/>
      <c r="BL788" s="233"/>
      <c r="BM788" s="233"/>
      <c r="BN788" s="233"/>
      <c r="BO788" s="233"/>
      <c r="BP788" s="233"/>
      <c r="BQ788" s="233"/>
      <c r="BR788" s="233"/>
      <c r="BS788" s="233"/>
      <c r="BT788" s="233"/>
      <c r="BU788" s="233"/>
      <c r="BV788" s="233"/>
      <c r="BW788" s="233"/>
      <c r="BX788" s="233"/>
      <c r="BY788" s="233"/>
      <c r="BZ788" s="233"/>
      <c r="CA788" s="233"/>
    </row>
    <row r="789" spans="43:79" x14ac:dyDescent="0.25">
      <c r="AQ789" s="233"/>
      <c r="AR789" s="233"/>
      <c r="AS789" s="233"/>
      <c r="AT789" s="233"/>
      <c r="AU789" s="233"/>
      <c r="AV789" s="233"/>
      <c r="AW789" s="233"/>
      <c r="AX789" s="233"/>
      <c r="AY789" s="233"/>
      <c r="AZ789" s="233"/>
      <c r="BA789" s="233"/>
      <c r="BB789" s="233"/>
      <c r="BC789" s="233"/>
      <c r="BD789" s="233"/>
      <c r="BE789" s="233"/>
      <c r="BF789" s="233"/>
      <c r="BG789" s="233"/>
      <c r="BH789" s="233"/>
      <c r="BI789" s="233"/>
      <c r="BJ789" s="233"/>
      <c r="BK789" s="233"/>
      <c r="BL789" s="233"/>
      <c r="BM789" s="233"/>
      <c r="BN789" s="233"/>
      <c r="BO789" s="233"/>
      <c r="BP789" s="233"/>
      <c r="BQ789" s="233"/>
      <c r="BR789" s="233"/>
      <c r="BS789" s="233"/>
      <c r="BT789" s="233"/>
      <c r="BU789" s="233"/>
      <c r="BV789" s="233"/>
      <c r="BW789" s="233"/>
      <c r="BX789" s="233"/>
      <c r="BY789" s="233"/>
      <c r="BZ789" s="233"/>
      <c r="CA789" s="233"/>
    </row>
    <row r="790" spans="43:79" x14ac:dyDescent="0.25">
      <c r="AQ790" s="233"/>
      <c r="AR790" s="233"/>
      <c r="AS790" s="233"/>
      <c r="AT790" s="233"/>
      <c r="AU790" s="233"/>
      <c r="AV790" s="233"/>
      <c r="AW790" s="233"/>
      <c r="AX790" s="233"/>
      <c r="AY790" s="233"/>
      <c r="AZ790" s="233"/>
      <c r="BA790" s="233"/>
      <c r="BB790" s="233"/>
      <c r="BC790" s="233"/>
      <c r="BD790" s="233"/>
      <c r="BE790" s="233"/>
      <c r="BF790" s="233"/>
      <c r="BG790" s="233"/>
      <c r="BH790" s="233"/>
      <c r="BI790" s="233"/>
      <c r="BJ790" s="233"/>
      <c r="BK790" s="233"/>
      <c r="BL790" s="233"/>
      <c r="BM790" s="233"/>
      <c r="BN790" s="233"/>
      <c r="BO790" s="233"/>
      <c r="BP790" s="233"/>
      <c r="BQ790" s="233"/>
      <c r="BR790" s="233"/>
      <c r="BS790" s="233"/>
      <c r="BT790" s="233"/>
      <c r="BU790" s="233"/>
      <c r="BV790" s="233"/>
      <c r="BW790" s="233"/>
      <c r="BX790" s="233"/>
      <c r="BY790" s="233"/>
      <c r="BZ790" s="233"/>
      <c r="CA790" s="233"/>
    </row>
    <row r="791" spans="43:79" x14ac:dyDescent="0.25">
      <c r="AQ791" s="233"/>
      <c r="AR791" s="233"/>
      <c r="AS791" s="233"/>
      <c r="AT791" s="233"/>
      <c r="AU791" s="233"/>
      <c r="AV791" s="233"/>
      <c r="AW791" s="233"/>
      <c r="AX791" s="233"/>
      <c r="AY791" s="233"/>
      <c r="AZ791" s="233"/>
      <c r="BA791" s="233"/>
      <c r="BB791" s="233"/>
      <c r="BC791" s="233"/>
      <c r="BD791" s="233"/>
      <c r="BE791" s="233"/>
      <c r="BF791" s="233"/>
      <c r="BG791" s="233"/>
      <c r="BH791" s="233"/>
      <c r="BI791" s="233"/>
      <c r="BJ791" s="233"/>
      <c r="BK791" s="233"/>
      <c r="BL791" s="233"/>
      <c r="BM791" s="233"/>
      <c r="BN791" s="233"/>
      <c r="BO791" s="233"/>
      <c r="BP791" s="233"/>
      <c r="BQ791" s="233"/>
      <c r="BR791" s="233"/>
      <c r="BS791" s="233"/>
      <c r="BT791" s="233"/>
      <c r="BU791" s="233"/>
      <c r="BV791" s="233"/>
      <c r="BW791" s="233"/>
      <c r="BX791" s="233"/>
      <c r="BY791" s="233"/>
      <c r="BZ791" s="233"/>
      <c r="CA791" s="233"/>
    </row>
    <row r="792" spans="43:79" x14ac:dyDescent="0.25">
      <c r="AQ792" s="233"/>
      <c r="AR792" s="233"/>
      <c r="AS792" s="233"/>
      <c r="AT792" s="233"/>
      <c r="AU792" s="233"/>
      <c r="AV792" s="233"/>
      <c r="AW792" s="233"/>
      <c r="AX792" s="233"/>
      <c r="AY792" s="233"/>
      <c r="AZ792" s="233"/>
      <c r="BA792" s="233"/>
      <c r="BB792" s="233"/>
      <c r="BC792" s="233"/>
      <c r="BD792" s="233"/>
      <c r="BE792" s="233"/>
      <c r="BF792" s="233"/>
      <c r="BG792" s="233"/>
      <c r="BH792" s="233"/>
      <c r="BI792" s="233"/>
      <c r="BJ792" s="233"/>
      <c r="BK792" s="233"/>
      <c r="BL792" s="233"/>
      <c r="BM792" s="233"/>
      <c r="BN792" s="233"/>
      <c r="BO792" s="233"/>
      <c r="BP792" s="233"/>
      <c r="BQ792" s="233"/>
      <c r="BR792" s="233"/>
      <c r="BS792" s="233"/>
      <c r="BT792" s="233"/>
      <c r="BU792" s="233"/>
      <c r="BV792" s="233"/>
      <c r="BW792" s="233"/>
      <c r="BX792" s="233"/>
      <c r="BY792" s="233"/>
      <c r="BZ792" s="233"/>
      <c r="CA792" s="233"/>
    </row>
    <row r="793" spans="43:79" x14ac:dyDescent="0.25">
      <c r="AQ793" s="233"/>
      <c r="AR793" s="233"/>
      <c r="AS793" s="233"/>
      <c r="AT793" s="233"/>
      <c r="AU793" s="233"/>
      <c r="AV793" s="233"/>
      <c r="AW793" s="233"/>
      <c r="AX793" s="233"/>
      <c r="AY793" s="233"/>
      <c r="AZ793" s="233"/>
      <c r="BA793" s="233"/>
      <c r="BB793" s="233"/>
      <c r="BC793" s="233"/>
      <c r="BD793" s="233"/>
      <c r="BE793" s="233"/>
      <c r="BF793" s="233"/>
      <c r="BG793" s="233"/>
      <c r="BH793" s="233"/>
      <c r="BI793" s="233"/>
      <c r="BJ793" s="233"/>
      <c r="BK793" s="233"/>
      <c r="BL793" s="233"/>
      <c r="BM793" s="233"/>
      <c r="BN793" s="233"/>
      <c r="BO793" s="233"/>
      <c r="BP793" s="233"/>
      <c r="BQ793" s="233"/>
      <c r="BR793" s="233"/>
      <c r="BS793" s="233"/>
      <c r="BT793" s="233"/>
      <c r="BU793" s="233"/>
      <c r="BV793" s="233"/>
      <c r="BW793" s="233"/>
      <c r="BX793" s="233"/>
      <c r="BY793" s="233"/>
      <c r="BZ793" s="233"/>
      <c r="CA793" s="233"/>
    </row>
    <row r="794" spans="43:79" x14ac:dyDescent="0.25">
      <c r="AQ794" s="233"/>
      <c r="AR794" s="233"/>
      <c r="AS794" s="233"/>
      <c r="AT794" s="233"/>
      <c r="AU794" s="233"/>
      <c r="AV794" s="233"/>
      <c r="AW794" s="233"/>
      <c r="AX794" s="233"/>
      <c r="AY794" s="233"/>
      <c r="AZ794" s="233"/>
      <c r="BA794" s="233"/>
      <c r="BB794" s="233"/>
      <c r="BC794" s="233"/>
      <c r="BD794" s="233"/>
      <c r="BE794" s="233"/>
      <c r="BF794" s="233"/>
      <c r="BG794" s="233"/>
      <c r="BH794" s="233"/>
      <c r="BI794" s="233"/>
      <c r="BJ794" s="233"/>
      <c r="BK794" s="233"/>
      <c r="BL794" s="233"/>
      <c r="BM794" s="233"/>
      <c r="BN794" s="233"/>
      <c r="BO794" s="233"/>
      <c r="BP794" s="233"/>
      <c r="BQ794" s="233"/>
      <c r="BR794" s="233"/>
      <c r="BS794" s="233"/>
      <c r="BT794" s="233"/>
      <c r="BU794" s="233"/>
      <c r="BV794" s="233"/>
      <c r="BW794" s="233"/>
      <c r="BX794" s="233"/>
      <c r="BY794" s="233"/>
      <c r="BZ794" s="233"/>
      <c r="CA794" s="233"/>
    </row>
    <row r="795" spans="43:79" x14ac:dyDescent="0.25">
      <c r="AQ795" s="233"/>
      <c r="AR795" s="233"/>
      <c r="AS795" s="233"/>
      <c r="AT795" s="233"/>
      <c r="AU795" s="233"/>
      <c r="AV795" s="233"/>
      <c r="AW795" s="233"/>
      <c r="AX795" s="233"/>
      <c r="AY795" s="233"/>
      <c r="AZ795" s="233"/>
      <c r="BA795" s="233"/>
      <c r="BB795" s="233"/>
      <c r="BC795" s="233"/>
      <c r="BD795" s="233"/>
      <c r="BE795" s="233"/>
      <c r="BF795" s="233"/>
      <c r="BG795" s="233"/>
      <c r="BH795" s="233"/>
      <c r="BI795" s="233"/>
      <c r="BJ795" s="233"/>
      <c r="BK795" s="233"/>
      <c r="BL795" s="233"/>
      <c r="BM795" s="233"/>
      <c r="BN795" s="233"/>
      <c r="BO795" s="233"/>
      <c r="BP795" s="233"/>
      <c r="BQ795" s="233"/>
      <c r="BR795" s="233"/>
      <c r="BS795" s="233"/>
      <c r="BT795" s="233"/>
      <c r="BU795" s="233"/>
      <c r="BV795" s="233"/>
      <c r="BW795" s="233"/>
      <c r="BX795" s="233"/>
      <c r="BY795" s="233"/>
      <c r="BZ795" s="233"/>
      <c r="CA795" s="233"/>
    </row>
    <row r="796" spans="43:79" x14ac:dyDescent="0.25">
      <c r="AQ796" s="233"/>
      <c r="AR796" s="233"/>
      <c r="AS796" s="233"/>
      <c r="AT796" s="233"/>
      <c r="AU796" s="233"/>
      <c r="AV796" s="233"/>
      <c r="AW796" s="233"/>
      <c r="AX796" s="233"/>
      <c r="AY796" s="233"/>
      <c r="AZ796" s="233"/>
      <c r="BA796" s="233"/>
      <c r="BB796" s="233"/>
      <c r="BC796" s="233"/>
      <c r="BD796" s="233"/>
      <c r="BE796" s="233"/>
      <c r="BF796" s="233"/>
      <c r="BG796" s="233"/>
      <c r="BH796" s="233"/>
      <c r="BI796" s="233"/>
      <c r="BJ796" s="233"/>
      <c r="BK796" s="233"/>
      <c r="BL796" s="233"/>
      <c r="BM796" s="233"/>
      <c r="BN796" s="233"/>
      <c r="BO796" s="233"/>
      <c r="BP796" s="233"/>
      <c r="BQ796" s="233"/>
      <c r="BR796" s="233"/>
      <c r="BS796" s="233"/>
      <c r="BT796" s="233"/>
      <c r="BU796" s="233"/>
      <c r="BV796" s="233"/>
      <c r="BW796" s="233"/>
      <c r="BX796" s="233"/>
      <c r="BY796" s="233"/>
      <c r="BZ796" s="233"/>
      <c r="CA796" s="233"/>
    </row>
    <row r="797" spans="43:79" x14ac:dyDescent="0.25">
      <c r="AQ797" s="233"/>
      <c r="AR797" s="233"/>
      <c r="AS797" s="233"/>
      <c r="AT797" s="233"/>
      <c r="AU797" s="233"/>
      <c r="AV797" s="233"/>
      <c r="AW797" s="233"/>
      <c r="AX797" s="233"/>
      <c r="AY797" s="233"/>
      <c r="AZ797" s="233"/>
      <c r="BA797" s="233"/>
      <c r="BB797" s="233"/>
      <c r="BC797" s="233"/>
      <c r="BD797" s="233"/>
      <c r="BE797" s="233"/>
      <c r="BF797" s="233"/>
      <c r="BG797" s="233"/>
      <c r="BH797" s="233"/>
      <c r="BI797" s="233"/>
      <c r="BJ797" s="233"/>
      <c r="BK797" s="233"/>
      <c r="BL797" s="233"/>
      <c r="BM797" s="233"/>
      <c r="BN797" s="233"/>
      <c r="BO797" s="233"/>
      <c r="BP797" s="233"/>
      <c r="BQ797" s="233"/>
      <c r="BR797" s="233"/>
      <c r="BS797" s="233"/>
      <c r="BT797" s="233"/>
      <c r="BU797" s="233"/>
      <c r="BV797" s="233"/>
      <c r="BW797" s="233"/>
      <c r="BX797" s="233"/>
      <c r="BY797" s="233"/>
      <c r="BZ797" s="233"/>
      <c r="CA797" s="233"/>
    </row>
    <row r="798" spans="43:79" x14ac:dyDescent="0.25">
      <c r="AQ798" s="233"/>
      <c r="AR798" s="233"/>
      <c r="AS798" s="233"/>
      <c r="AT798" s="233"/>
      <c r="AU798" s="233"/>
      <c r="AV798" s="233"/>
      <c r="AW798" s="233"/>
      <c r="AX798" s="233"/>
      <c r="AY798" s="233"/>
      <c r="AZ798" s="233"/>
      <c r="BA798" s="233"/>
      <c r="BB798" s="233"/>
      <c r="BC798" s="233"/>
      <c r="BD798" s="233"/>
      <c r="BE798" s="233"/>
      <c r="BF798" s="233"/>
      <c r="BG798" s="233"/>
      <c r="BH798" s="233"/>
      <c r="BI798" s="233"/>
      <c r="BJ798" s="233"/>
      <c r="BK798" s="233"/>
      <c r="BL798" s="233"/>
      <c r="BM798" s="233"/>
      <c r="BN798" s="233"/>
      <c r="BO798" s="233"/>
      <c r="BP798" s="233"/>
      <c r="BQ798" s="233"/>
      <c r="BR798" s="233"/>
      <c r="BS798" s="233"/>
      <c r="BT798" s="233"/>
      <c r="BU798" s="233"/>
      <c r="BV798" s="233"/>
      <c r="BW798" s="233"/>
      <c r="BX798" s="233"/>
      <c r="BY798" s="233"/>
      <c r="BZ798" s="233"/>
      <c r="CA798" s="233"/>
    </row>
    <row r="799" spans="43:79" x14ac:dyDescent="0.25">
      <c r="AQ799" s="233"/>
      <c r="AR799" s="233"/>
      <c r="AS799" s="233"/>
      <c r="AT799" s="233"/>
      <c r="AU799" s="233"/>
      <c r="AV799" s="233"/>
      <c r="AW799" s="233"/>
      <c r="AX799" s="233"/>
      <c r="AY799" s="233"/>
      <c r="AZ799" s="233"/>
      <c r="BA799" s="233"/>
      <c r="BB799" s="233"/>
      <c r="BC799" s="233"/>
      <c r="BD799" s="233"/>
      <c r="BE799" s="233"/>
      <c r="BF799" s="233"/>
      <c r="BG799" s="233"/>
      <c r="BH799" s="233"/>
      <c r="BI799" s="233"/>
      <c r="BJ799" s="233"/>
      <c r="BK799" s="233"/>
      <c r="BL799" s="233"/>
      <c r="BM799" s="233"/>
      <c r="BN799" s="233"/>
      <c r="BO799" s="233"/>
      <c r="BP799" s="233"/>
      <c r="BQ799" s="233"/>
      <c r="BR799" s="233"/>
      <c r="BS799" s="233"/>
      <c r="BT799" s="233"/>
      <c r="BU799" s="233"/>
      <c r="BV799" s="233"/>
      <c r="BW799" s="233"/>
      <c r="BX799" s="233"/>
      <c r="BY799" s="233"/>
      <c r="BZ799" s="233"/>
      <c r="CA799" s="233"/>
    </row>
    <row r="800" spans="43:79" x14ac:dyDescent="0.25">
      <c r="AQ800" s="233"/>
      <c r="AR800" s="233"/>
      <c r="AS800" s="233"/>
      <c r="AT800" s="233"/>
      <c r="AU800" s="233"/>
      <c r="AV800" s="233"/>
      <c r="AW800" s="233"/>
      <c r="AX800" s="233"/>
      <c r="AY800" s="233"/>
      <c r="AZ800" s="233"/>
      <c r="BA800" s="233"/>
      <c r="BB800" s="233"/>
      <c r="BC800" s="233"/>
      <c r="BD800" s="233"/>
      <c r="BE800" s="233"/>
      <c r="BF800" s="233"/>
      <c r="BG800" s="233"/>
      <c r="BH800" s="233"/>
      <c r="BI800" s="233"/>
      <c r="BJ800" s="233"/>
      <c r="BK800" s="233"/>
      <c r="BL800" s="233"/>
      <c r="BM800" s="233"/>
      <c r="BN800" s="233"/>
      <c r="BO800" s="233"/>
      <c r="BP800" s="233"/>
      <c r="BQ800" s="233"/>
      <c r="BR800" s="233"/>
      <c r="BS800" s="233"/>
      <c r="BT800" s="233"/>
      <c r="BU800" s="233"/>
      <c r="BV800" s="233"/>
      <c r="BW800" s="233"/>
      <c r="BX800" s="233"/>
      <c r="BY800" s="233"/>
      <c r="BZ800" s="233"/>
      <c r="CA800" s="233"/>
    </row>
    <row r="801" spans="1:79" x14ac:dyDescent="0.25">
      <c r="AQ801" s="233"/>
      <c r="AR801" s="233"/>
      <c r="AS801" s="233"/>
      <c r="AT801" s="233"/>
      <c r="AU801" s="233"/>
      <c r="AV801" s="233"/>
      <c r="AW801" s="233"/>
      <c r="AX801" s="233"/>
      <c r="AY801" s="233"/>
      <c r="AZ801" s="233"/>
      <c r="BA801" s="233"/>
      <c r="BB801" s="233"/>
      <c r="BC801" s="233"/>
      <c r="BD801" s="233"/>
      <c r="BE801" s="233"/>
      <c r="BF801" s="233"/>
      <c r="BG801" s="233"/>
      <c r="BH801" s="233"/>
      <c r="BI801" s="233"/>
      <c r="BJ801" s="233"/>
      <c r="BK801" s="233"/>
      <c r="BL801" s="233"/>
      <c r="BM801" s="233"/>
      <c r="BN801" s="233"/>
      <c r="BO801" s="233"/>
      <c r="BP801" s="233"/>
      <c r="BQ801" s="233"/>
      <c r="BR801" s="233"/>
      <c r="BS801" s="233"/>
      <c r="BT801" s="233"/>
      <c r="BU801" s="233"/>
      <c r="BV801" s="233"/>
      <c r="BW801" s="233"/>
      <c r="BX801" s="233"/>
      <c r="BY801" s="233"/>
      <c r="BZ801" s="233"/>
      <c r="CA801" s="233"/>
    </row>
    <row r="802" spans="1:79" x14ac:dyDescent="0.25">
      <c r="AQ802" s="233"/>
      <c r="AR802" s="233"/>
      <c r="AS802" s="233"/>
      <c r="AT802" s="233"/>
      <c r="AU802" s="233"/>
      <c r="AV802" s="233"/>
      <c r="AW802" s="233"/>
      <c r="AX802" s="233"/>
      <c r="AY802" s="233"/>
      <c r="AZ802" s="233"/>
      <c r="BA802" s="233"/>
      <c r="BB802" s="233"/>
      <c r="BC802" s="233"/>
      <c r="BD802" s="233"/>
      <c r="BE802" s="233"/>
      <c r="BF802" s="233"/>
      <c r="BG802" s="233"/>
      <c r="BH802" s="233"/>
      <c r="BI802" s="233"/>
      <c r="BJ802" s="233"/>
      <c r="BK802" s="233"/>
      <c r="BL802" s="233"/>
      <c r="BM802" s="233"/>
      <c r="BN802" s="233"/>
      <c r="BO802" s="233"/>
      <c r="BP802" s="233"/>
      <c r="BQ802" s="233"/>
      <c r="BR802" s="233"/>
      <c r="BS802" s="233"/>
      <c r="BT802" s="233"/>
      <c r="BU802" s="233"/>
      <c r="BV802" s="233"/>
      <c r="BW802" s="233"/>
      <c r="BX802" s="233"/>
      <c r="BY802" s="233"/>
      <c r="BZ802" s="233"/>
      <c r="CA802" s="233"/>
    </row>
    <row r="803" spans="1:79" x14ac:dyDescent="0.25">
      <c r="AQ803" s="233"/>
      <c r="AR803" s="233"/>
      <c r="AS803" s="233"/>
      <c r="AT803" s="233"/>
      <c r="AU803" s="233"/>
      <c r="AV803" s="233"/>
      <c r="AW803" s="233"/>
      <c r="AX803" s="233"/>
      <c r="AY803" s="233"/>
      <c r="AZ803" s="233"/>
      <c r="BA803" s="233"/>
      <c r="BB803" s="233"/>
      <c r="BC803" s="233"/>
      <c r="BD803" s="233"/>
      <c r="BE803" s="233"/>
      <c r="BF803" s="233"/>
      <c r="BG803" s="233"/>
      <c r="BH803" s="233"/>
      <c r="BI803" s="233"/>
      <c r="BJ803" s="233"/>
      <c r="BK803" s="233"/>
      <c r="BL803" s="233"/>
      <c r="BM803" s="233"/>
      <c r="BN803" s="233"/>
      <c r="BO803" s="233"/>
      <c r="BP803" s="233"/>
      <c r="BQ803" s="233"/>
      <c r="BR803" s="233"/>
      <c r="BS803" s="233"/>
      <c r="BT803" s="233"/>
      <c r="BU803" s="233"/>
      <c r="BV803" s="233"/>
      <c r="BW803" s="233"/>
      <c r="BX803" s="233"/>
      <c r="BY803" s="233"/>
      <c r="BZ803" s="233"/>
      <c r="CA803" s="233"/>
    </row>
    <row r="804" spans="1:79" x14ac:dyDescent="0.25">
      <c r="AQ804" s="233"/>
      <c r="AR804" s="233"/>
      <c r="AS804" s="233"/>
      <c r="AT804" s="233"/>
      <c r="AU804" s="233"/>
      <c r="AV804" s="233"/>
      <c r="AW804" s="233"/>
      <c r="AX804" s="233"/>
      <c r="AY804" s="233"/>
      <c r="AZ804" s="233"/>
      <c r="BA804" s="233"/>
      <c r="BB804" s="233"/>
      <c r="BC804" s="233"/>
      <c r="BD804" s="233"/>
      <c r="BE804" s="233"/>
      <c r="BF804" s="233"/>
      <c r="BG804" s="233"/>
      <c r="BH804" s="233"/>
      <c r="BI804" s="233"/>
      <c r="BJ804" s="233"/>
      <c r="BK804" s="233"/>
      <c r="BL804" s="233"/>
      <c r="BM804" s="233"/>
      <c r="BN804" s="233"/>
      <c r="BO804" s="233"/>
      <c r="BP804" s="233"/>
      <c r="BQ804" s="233"/>
      <c r="BR804" s="233"/>
      <c r="BS804" s="233"/>
      <c r="BT804" s="233"/>
      <c r="BU804" s="233"/>
      <c r="BV804" s="233"/>
      <c r="BW804" s="233"/>
      <c r="BX804" s="233"/>
      <c r="BY804" s="233"/>
      <c r="BZ804" s="233"/>
      <c r="CA804" s="233"/>
    </row>
    <row r="805" spans="1:79" x14ac:dyDescent="0.25">
      <c r="AQ805" s="233"/>
      <c r="AR805" s="233"/>
      <c r="AS805" s="233"/>
      <c r="AT805" s="233"/>
      <c r="AU805" s="233"/>
      <c r="AV805" s="233"/>
      <c r="AW805" s="233"/>
      <c r="AX805" s="233"/>
      <c r="AY805" s="233"/>
      <c r="AZ805" s="233"/>
      <c r="BA805" s="233"/>
      <c r="BB805" s="233"/>
      <c r="BC805" s="233"/>
      <c r="BD805" s="233"/>
      <c r="BE805" s="233"/>
      <c r="BF805" s="233"/>
      <c r="BG805" s="233"/>
      <c r="BH805" s="233"/>
      <c r="BI805" s="233"/>
      <c r="BJ805" s="233"/>
      <c r="BK805" s="233"/>
      <c r="BL805" s="233"/>
      <c r="BM805" s="233"/>
      <c r="BN805" s="233"/>
      <c r="BO805" s="233"/>
      <c r="BP805" s="233"/>
      <c r="BQ805" s="233"/>
      <c r="BR805" s="233"/>
      <c r="BS805" s="233"/>
      <c r="BT805" s="233"/>
      <c r="BU805" s="233"/>
      <c r="BV805" s="233"/>
      <c r="BW805" s="233"/>
      <c r="BX805" s="233"/>
      <c r="BY805" s="233"/>
      <c r="BZ805" s="233"/>
      <c r="CA805" s="233"/>
    </row>
    <row r="806" spans="1:79" x14ac:dyDescent="0.25">
      <c r="AQ806" s="233"/>
      <c r="AR806" s="233"/>
      <c r="AS806" s="233"/>
      <c r="AT806" s="233"/>
      <c r="AU806" s="233"/>
      <c r="AV806" s="233"/>
      <c r="AW806" s="233"/>
      <c r="AX806" s="233"/>
      <c r="AY806" s="233"/>
      <c r="AZ806" s="233"/>
      <c r="BA806" s="233"/>
      <c r="BB806" s="233"/>
      <c r="BC806" s="233"/>
      <c r="BD806" s="233"/>
      <c r="BE806" s="233"/>
      <c r="BF806" s="233"/>
      <c r="BG806" s="233"/>
      <c r="BH806" s="233"/>
      <c r="BI806" s="233"/>
      <c r="BJ806" s="233"/>
      <c r="BK806" s="233"/>
      <c r="BL806" s="233"/>
      <c r="BM806" s="233"/>
      <c r="BN806" s="233"/>
      <c r="BO806" s="233"/>
      <c r="BP806" s="233"/>
      <c r="BQ806" s="233"/>
      <c r="BR806" s="233"/>
      <c r="BS806" s="233"/>
      <c r="BT806" s="233"/>
      <c r="BU806" s="233"/>
      <c r="BV806" s="233"/>
      <c r="BW806" s="233"/>
      <c r="BX806" s="233"/>
      <c r="BY806" s="233"/>
      <c r="BZ806" s="233"/>
      <c r="CA806" s="233"/>
    </row>
    <row r="807" spans="1:79" x14ac:dyDescent="0.25">
      <c r="AQ807" s="233"/>
      <c r="AR807" s="233"/>
      <c r="AS807" s="233"/>
      <c r="AT807" s="233"/>
      <c r="AU807" s="233"/>
      <c r="AV807" s="233"/>
      <c r="AW807" s="233"/>
      <c r="AX807" s="233"/>
      <c r="AY807" s="233"/>
      <c r="AZ807" s="233"/>
      <c r="BA807" s="233"/>
      <c r="BB807" s="233"/>
      <c r="BC807" s="233"/>
      <c r="BD807" s="233"/>
      <c r="BE807" s="233"/>
      <c r="BF807" s="233"/>
      <c r="BG807" s="233"/>
      <c r="BH807" s="233"/>
      <c r="BI807" s="233"/>
      <c r="BJ807" s="233"/>
      <c r="BK807" s="233"/>
      <c r="BL807" s="233"/>
      <c r="BM807" s="233"/>
      <c r="BN807" s="233"/>
      <c r="BO807" s="233"/>
      <c r="BP807" s="233"/>
      <c r="BQ807" s="233"/>
      <c r="BR807" s="233"/>
      <c r="BS807" s="233"/>
      <c r="BT807" s="233"/>
      <c r="BU807" s="233"/>
      <c r="BV807" s="233"/>
      <c r="BW807" s="233"/>
      <c r="BX807" s="233"/>
      <c r="BY807" s="233"/>
      <c r="BZ807" s="233"/>
      <c r="CA807" s="233"/>
    </row>
    <row r="808" spans="1:79" x14ac:dyDescent="0.25">
      <c r="AQ808" s="233"/>
      <c r="AR808" s="233"/>
      <c r="AS808" s="233"/>
      <c r="AT808" s="233"/>
      <c r="AU808" s="233"/>
      <c r="AV808" s="233"/>
      <c r="AW808" s="233"/>
      <c r="AX808" s="233"/>
      <c r="AY808" s="233"/>
      <c r="AZ808" s="233"/>
      <c r="BA808" s="233"/>
      <c r="BB808" s="233"/>
      <c r="BC808" s="233"/>
      <c r="BD808" s="233"/>
      <c r="BE808" s="233"/>
      <c r="BF808" s="233"/>
      <c r="BG808" s="233"/>
      <c r="BH808" s="233"/>
      <c r="BI808" s="233"/>
      <c r="BJ808" s="233"/>
      <c r="BK808" s="233"/>
      <c r="BL808" s="233"/>
      <c r="BM808" s="233"/>
      <c r="BN808" s="233"/>
      <c r="BO808" s="233"/>
      <c r="BP808" s="233"/>
      <c r="BQ808" s="233"/>
      <c r="BR808" s="233"/>
      <c r="BS808" s="233"/>
      <c r="BT808" s="233"/>
      <c r="BU808" s="233"/>
      <c r="BV808" s="233"/>
      <c r="BW808" s="233"/>
      <c r="BX808" s="233"/>
      <c r="BY808" s="233"/>
      <c r="BZ808" s="233"/>
      <c r="CA808" s="233"/>
    </row>
    <row r="809" spans="1:79" x14ac:dyDescent="0.25">
      <c r="AQ809" s="233"/>
      <c r="AR809" s="233"/>
      <c r="AS809" s="233"/>
      <c r="AT809" s="233"/>
      <c r="AU809" s="233"/>
      <c r="AV809" s="233"/>
      <c r="AW809" s="233"/>
      <c r="AX809" s="233"/>
      <c r="AY809" s="233"/>
      <c r="AZ809" s="233"/>
      <c r="BA809" s="233"/>
      <c r="BB809" s="233"/>
      <c r="BC809" s="233"/>
      <c r="BD809" s="233"/>
      <c r="BE809" s="233"/>
      <c r="BF809" s="233"/>
      <c r="BG809" s="233"/>
      <c r="BH809" s="233"/>
      <c r="BI809" s="233"/>
      <c r="BJ809" s="233"/>
      <c r="BK809" s="233"/>
      <c r="BL809" s="233"/>
      <c r="BM809" s="233"/>
      <c r="BN809" s="233"/>
      <c r="BO809" s="233"/>
      <c r="BP809" s="233"/>
      <c r="BQ809" s="233"/>
      <c r="BR809" s="233"/>
      <c r="BS809" s="233"/>
      <c r="BT809" s="233"/>
      <c r="BU809" s="233"/>
      <c r="BV809" s="233"/>
      <c r="BW809" s="233"/>
      <c r="BX809" s="233"/>
      <c r="BY809" s="233"/>
      <c r="BZ809" s="233"/>
      <c r="CA809" s="233"/>
    </row>
    <row r="810" spans="1:79" x14ac:dyDescent="0.25">
      <c r="AQ810" s="233"/>
      <c r="AR810" s="233"/>
      <c r="AS810" s="233"/>
      <c r="AT810" s="233"/>
      <c r="AU810" s="233"/>
      <c r="AV810" s="233"/>
      <c r="AW810" s="233"/>
      <c r="AX810" s="233"/>
      <c r="AY810" s="233"/>
      <c r="AZ810" s="233"/>
      <c r="BA810" s="233"/>
      <c r="BB810" s="233"/>
      <c r="BC810" s="233"/>
      <c r="BD810" s="233"/>
      <c r="BE810" s="233"/>
      <c r="BF810" s="233"/>
      <c r="BG810" s="233"/>
      <c r="BH810" s="233"/>
      <c r="BI810" s="233"/>
      <c r="BJ810" s="233"/>
      <c r="BK810" s="233"/>
      <c r="BL810" s="233"/>
      <c r="BM810" s="233"/>
      <c r="BN810" s="233"/>
      <c r="BO810" s="233"/>
      <c r="BP810" s="233"/>
      <c r="BQ810" s="233"/>
      <c r="BR810" s="233"/>
      <c r="BS810" s="233"/>
      <c r="BT810" s="233"/>
      <c r="BU810" s="233"/>
      <c r="BV810" s="233"/>
      <c r="BW810" s="233"/>
      <c r="BX810" s="233"/>
      <c r="BY810" s="233"/>
      <c r="BZ810" s="233"/>
      <c r="CA810" s="233"/>
    </row>
    <row r="811" spans="1:79" x14ac:dyDescent="0.25">
      <c r="AQ811" s="233"/>
      <c r="AR811" s="233"/>
      <c r="AS811" s="233"/>
      <c r="AT811" s="233"/>
      <c r="AU811" s="233"/>
      <c r="AV811" s="233"/>
      <c r="AW811" s="233"/>
      <c r="AX811" s="233"/>
      <c r="AY811" s="233"/>
      <c r="AZ811" s="233"/>
      <c r="BA811" s="233"/>
      <c r="BB811" s="233"/>
      <c r="BC811" s="233"/>
      <c r="BD811" s="233"/>
      <c r="BE811" s="233"/>
      <c r="BF811" s="233"/>
      <c r="BG811" s="233"/>
      <c r="BH811" s="233"/>
      <c r="BI811" s="233"/>
      <c r="BJ811" s="233"/>
      <c r="BK811" s="233"/>
      <c r="BL811" s="233"/>
      <c r="BM811" s="233"/>
      <c r="BN811" s="233"/>
      <c r="BO811" s="233"/>
      <c r="BP811" s="233"/>
      <c r="BQ811" s="233"/>
      <c r="BR811" s="233"/>
      <c r="BS811" s="233"/>
      <c r="BT811" s="233"/>
      <c r="BU811" s="233"/>
      <c r="BV811" s="233"/>
      <c r="BW811" s="233"/>
      <c r="BX811" s="233"/>
      <c r="BY811" s="233"/>
      <c r="BZ811" s="233"/>
      <c r="CA811" s="233"/>
    </row>
    <row r="812" spans="1:79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Q812" s="233"/>
      <c r="AR812" s="233"/>
      <c r="AS812" s="233"/>
      <c r="AT812" s="233"/>
      <c r="AU812" s="233"/>
      <c r="AV812" s="233"/>
      <c r="AW812" s="233"/>
      <c r="AX812" s="233"/>
      <c r="AY812" s="233"/>
      <c r="AZ812" s="233"/>
      <c r="BA812" s="233"/>
      <c r="BB812" s="233"/>
      <c r="BC812" s="233"/>
      <c r="BD812" s="233"/>
      <c r="BE812" s="233"/>
      <c r="BF812" s="233"/>
      <c r="BG812" s="233"/>
      <c r="BH812" s="233"/>
      <c r="BI812" s="233"/>
      <c r="BJ812" s="233"/>
      <c r="BK812" s="233"/>
      <c r="BL812" s="233"/>
      <c r="BM812" s="233"/>
      <c r="BN812" s="233"/>
      <c r="BO812" s="233"/>
      <c r="BP812" s="233"/>
      <c r="BQ812" s="233"/>
      <c r="BR812" s="233"/>
      <c r="BS812" s="233"/>
      <c r="BT812" s="233"/>
      <c r="BU812" s="233"/>
      <c r="BV812" s="233"/>
      <c r="BW812" s="233"/>
      <c r="BX812" s="233"/>
      <c r="BY812" s="233"/>
      <c r="BZ812" s="233"/>
      <c r="CA812" s="233"/>
    </row>
    <row r="813" spans="1:79" x14ac:dyDescent="0.25">
      <c r="AQ813" s="233"/>
      <c r="AR813" s="233"/>
      <c r="AS813" s="233"/>
      <c r="AT813" s="233"/>
      <c r="AU813" s="233"/>
      <c r="AV813" s="233"/>
      <c r="AW813" s="233"/>
      <c r="AX813" s="233"/>
      <c r="AY813" s="233"/>
      <c r="AZ813" s="233"/>
      <c r="BA813" s="233"/>
      <c r="BB813" s="233"/>
      <c r="BC813" s="233"/>
      <c r="BD813" s="233"/>
      <c r="BE813" s="233"/>
      <c r="BF813" s="233"/>
      <c r="BG813" s="233"/>
      <c r="BH813" s="233"/>
      <c r="BI813" s="233"/>
      <c r="BJ813" s="233"/>
      <c r="BK813" s="233"/>
      <c r="BL813" s="233"/>
      <c r="BM813" s="233"/>
      <c r="BN813" s="233"/>
      <c r="BO813" s="233"/>
      <c r="BP813" s="233"/>
      <c r="BQ813" s="233"/>
      <c r="BR813" s="233"/>
      <c r="BS813" s="233"/>
      <c r="BT813" s="233"/>
      <c r="BU813" s="233"/>
      <c r="BV813" s="233"/>
      <c r="BW813" s="233"/>
      <c r="BX813" s="233"/>
      <c r="BY813" s="233"/>
      <c r="BZ813" s="233"/>
      <c r="CA813" s="233"/>
    </row>
    <row r="814" spans="1:79" x14ac:dyDescent="0.25">
      <c r="AQ814" s="233"/>
      <c r="AR814" s="233"/>
      <c r="AS814" s="233"/>
      <c r="AT814" s="233"/>
      <c r="AU814" s="233"/>
      <c r="AV814" s="233"/>
      <c r="AW814" s="233"/>
      <c r="AX814" s="233"/>
      <c r="AY814" s="233"/>
      <c r="AZ814" s="233"/>
      <c r="BA814" s="233"/>
      <c r="BB814" s="233"/>
      <c r="BC814" s="233"/>
      <c r="BD814" s="233"/>
      <c r="BE814" s="233"/>
      <c r="BF814" s="233"/>
      <c r="BG814" s="233"/>
      <c r="BH814" s="233"/>
      <c r="BI814" s="233"/>
      <c r="BJ814" s="233"/>
      <c r="BK814" s="233"/>
      <c r="BL814" s="233"/>
      <c r="BM814" s="233"/>
      <c r="BN814" s="233"/>
      <c r="BO814" s="233"/>
      <c r="BP814" s="233"/>
      <c r="BQ814" s="233"/>
      <c r="BR814" s="233"/>
      <c r="BS814" s="233"/>
      <c r="BT814" s="233"/>
      <c r="BU814" s="233"/>
      <c r="BV814" s="233"/>
      <c r="BW814" s="233"/>
      <c r="BX814" s="233"/>
      <c r="BY814" s="233"/>
      <c r="BZ814" s="233"/>
      <c r="CA814" s="233"/>
    </row>
    <row r="815" spans="1:79" x14ac:dyDescent="0.25">
      <c r="AQ815" s="233"/>
      <c r="AR815" s="233"/>
      <c r="AS815" s="233"/>
      <c r="AT815" s="233"/>
      <c r="AU815" s="233"/>
      <c r="AV815" s="233"/>
      <c r="AW815" s="233"/>
      <c r="AX815" s="233"/>
      <c r="AY815" s="233"/>
      <c r="AZ815" s="233"/>
      <c r="BA815" s="233"/>
      <c r="BB815" s="233"/>
      <c r="BC815" s="233"/>
      <c r="BD815" s="233"/>
      <c r="BE815" s="233"/>
      <c r="BF815" s="233"/>
      <c r="BG815" s="233"/>
      <c r="BH815" s="233"/>
      <c r="BI815" s="233"/>
      <c r="BJ815" s="233"/>
      <c r="BK815" s="233"/>
      <c r="BL815" s="233"/>
      <c r="BM815" s="233"/>
      <c r="BN815" s="233"/>
      <c r="BO815" s="233"/>
      <c r="BP815" s="233"/>
      <c r="BQ815" s="233"/>
      <c r="BR815" s="233"/>
      <c r="BS815" s="233"/>
      <c r="BT815" s="233"/>
      <c r="BU815" s="233"/>
      <c r="BV815" s="233"/>
      <c r="BW815" s="233"/>
      <c r="BX815" s="233"/>
      <c r="BY815" s="233"/>
      <c r="BZ815" s="233"/>
      <c r="CA815" s="233"/>
    </row>
    <row r="816" spans="1:79" x14ac:dyDescent="0.25">
      <c r="AQ816" s="233"/>
      <c r="AR816" s="233"/>
      <c r="AS816" s="233"/>
      <c r="AT816" s="233"/>
      <c r="AU816" s="233"/>
      <c r="AV816" s="233"/>
      <c r="AW816" s="233"/>
      <c r="AX816" s="233"/>
      <c r="AY816" s="233"/>
      <c r="AZ816" s="233"/>
      <c r="BA816" s="233"/>
      <c r="BB816" s="233"/>
      <c r="BC816" s="233"/>
      <c r="BD816" s="233"/>
      <c r="BE816" s="233"/>
      <c r="BF816" s="233"/>
      <c r="BG816" s="233"/>
      <c r="BH816" s="233"/>
      <c r="BI816" s="233"/>
      <c r="BJ816" s="233"/>
      <c r="BK816" s="233"/>
      <c r="BL816" s="233"/>
      <c r="BM816" s="233"/>
      <c r="BN816" s="233"/>
      <c r="BO816" s="233"/>
      <c r="BP816" s="233"/>
      <c r="BQ816" s="233"/>
      <c r="BR816" s="233"/>
      <c r="BS816" s="233"/>
      <c r="BT816" s="233"/>
      <c r="BU816" s="233"/>
      <c r="BV816" s="233"/>
      <c r="BW816" s="233"/>
      <c r="BX816" s="233"/>
      <c r="BY816" s="233"/>
      <c r="BZ816" s="233"/>
      <c r="CA816" s="233"/>
    </row>
    <row r="817" spans="43:79" x14ac:dyDescent="0.25">
      <c r="AQ817" s="233"/>
      <c r="AR817" s="233"/>
      <c r="AS817" s="233"/>
      <c r="AT817" s="233"/>
      <c r="AU817" s="233"/>
      <c r="AV817" s="233"/>
      <c r="AW817" s="233"/>
      <c r="AX817" s="233"/>
      <c r="AY817" s="233"/>
      <c r="AZ817" s="233"/>
      <c r="BA817" s="233"/>
      <c r="BB817" s="233"/>
      <c r="BC817" s="233"/>
      <c r="BD817" s="233"/>
      <c r="BE817" s="233"/>
      <c r="BF817" s="233"/>
      <c r="BG817" s="233"/>
      <c r="BH817" s="233"/>
      <c r="BI817" s="233"/>
      <c r="BJ817" s="233"/>
      <c r="BK817" s="233"/>
      <c r="BL817" s="233"/>
      <c r="BM817" s="233"/>
      <c r="BN817" s="233"/>
      <c r="BO817" s="233"/>
      <c r="BP817" s="233"/>
      <c r="BQ817" s="233"/>
      <c r="BR817" s="233"/>
      <c r="BS817" s="233"/>
      <c r="BT817" s="233"/>
      <c r="BU817" s="233"/>
      <c r="BV817" s="233"/>
      <c r="BW817" s="233"/>
      <c r="BX817" s="233"/>
      <c r="BY817" s="233"/>
      <c r="BZ817" s="233"/>
      <c r="CA817" s="233"/>
    </row>
    <row r="818" spans="43:79" x14ac:dyDescent="0.25">
      <c r="AQ818" s="233"/>
      <c r="AR818" s="233"/>
      <c r="AS818" s="233"/>
      <c r="AT818" s="233"/>
      <c r="AU818" s="233"/>
      <c r="AV818" s="233"/>
      <c r="AW818" s="233"/>
      <c r="AX818" s="233"/>
      <c r="AY818" s="233"/>
      <c r="AZ818" s="233"/>
      <c r="BA818" s="233"/>
      <c r="BB818" s="233"/>
      <c r="BC818" s="233"/>
      <c r="BD818" s="233"/>
      <c r="BE818" s="233"/>
      <c r="BF818" s="233"/>
      <c r="BG818" s="233"/>
      <c r="BH818" s="233"/>
      <c r="BI818" s="233"/>
      <c r="BJ818" s="233"/>
      <c r="BK818" s="233"/>
      <c r="BL818" s="233"/>
      <c r="BM818" s="233"/>
      <c r="BN818" s="233"/>
      <c r="BO818" s="233"/>
      <c r="BP818" s="233"/>
      <c r="BQ818" s="233"/>
      <c r="BR818" s="233"/>
      <c r="BS818" s="233"/>
      <c r="BT818" s="233"/>
      <c r="BU818" s="233"/>
      <c r="BV818" s="233"/>
      <c r="BW818" s="233"/>
      <c r="BX818" s="233"/>
      <c r="BY818" s="233"/>
      <c r="BZ818" s="233"/>
      <c r="CA818" s="233"/>
    </row>
    <row r="819" spans="43:79" x14ac:dyDescent="0.25">
      <c r="AQ819" s="233"/>
      <c r="AR819" s="233"/>
      <c r="AS819" s="233"/>
      <c r="AT819" s="233"/>
      <c r="AU819" s="233"/>
      <c r="AV819" s="233"/>
      <c r="AW819" s="233"/>
      <c r="AX819" s="233"/>
      <c r="AY819" s="233"/>
      <c r="AZ819" s="233"/>
      <c r="BA819" s="233"/>
      <c r="BB819" s="233"/>
      <c r="BC819" s="233"/>
      <c r="BD819" s="233"/>
      <c r="BE819" s="233"/>
      <c r="BF819" s="233"/>
      <c r="BG819" s="233"/>
      <c r="BH819" s="233"/>
      <c r="BI819" s="233"/>
      <c r="BJ819" s="233"/>
      <c r="BK819" s="233"/>
      <c r="BL819" s="233"/>
      <c r="BM819" s="233"/>
      <c r="BN819" s="233"/>
      <c r="BO819" s="233"/>
      <c r="BP819" s="233"/>
      <c r="BQ819" s="233"/>
      <c r="BR819" s="233"/>
      <c r="BS819" s="233"/>
      <c r="BT819" s="233"/>
      <c r="BU819" s="233"/>
      <c r="BV819" s="233"/>
      <c r="BW819" s="233"/>
      <c r="BX819" s="233"/>
      <c r="BY819" s="233"/>
      <c r="BZ819" s="233"/>
      <c r="CA819" s="233"/>
    </row>
    <row r="820" spans="43:79" x14ac:dyDescent="0.25">
      <c r="AT820" s="29"/>
      <c r="AU820" s="29"/>
      <c r="AV820" s="29"/>
      <c r="AW820" s="29"/>
      <c r="AX820" s="29"/>
      <c r="AY820" s="29"/>
      <c r="AZ820" s="29"/>
      <c r="BA820" s="29"/>
      <c r="BB820" s="29"/>
      <c r="BC820" s="29"/>
      <c r="BD820" s="29"/>
      <c r="BE820" s="29"/>
      <c r="BF820" s="29"/>
      <c r="BG820" s="29"/>
      <c r="BH820" s="29"/>
      <c r="BI820" s="36"/>
      <c r="BJ820" s="36"/>
      <c r="BK820" s="36"/>
      <c r="BL820" s="36"/>
      <c r="BM820" s="36"/>
      <c r="BN820" s="29"/>
      <c r="BO820" s="29"/>
      <c r="BP820" s="29"/>
      <c r="BQ820" s="29"/>
      <c r="BR820" s="29"/>
      <c r="BS820" s="29"/>
      <c r="BT820" s="29"/>
      <c r="BU820" s="29"/>
      <c r="BV820" s="29"/>
      <c r="BW820" s="29"/>
      <c r="BX820" s="29"/>
      <c r="BY820" s="29"/>
    </row>
    <row r="821" spans="43:79" x14ac:dyDescent="0.25">
      <c r="AT821" s="29"/>
      <c r="AU821" s="29"/>
      <c r="AV821" s="29"/>
      <c r="AW821" s="29"/>
      <c r="AX821" s="29"/>
      <c r="AY821" s="29"/>
      <c r="AZ821" s="29"/>
      <c r="BA821" s="29"/>
      <c r="BB821" s="29"/>
      <c r="BC821" s="29"/>
      <c r="BD821" s="29"/>
      <c r="BE821" s="29"/>
      <c r="BF821" s="29"/>
      <c r="BG821" s="29"/>
      <c r="BH821" s="29"/>
      <c r="BI821" s="36"/>
      <c r="BJ821" s="36"/>
      <c r="BK821" s="36"/>
      <c r="BL821" s="36"/>
      <c r="BM821" s="36"/>
      <c r="BN821" s="29"/>
      <c r="BO821" s="29"/>
      <c r="BP821" s="29"/>
      <c r="BQ821" s="29"/>
      <c r="BR821" s="29"/>
      <c r="BS821" s="29"/>
      <c r="BT821" s="29"/>
      <c r="BU821" s="29"/>
      <c r="BV821" s="29"/>
      <c r="BW821" s="29"/>
      <c r="BX821" s="29"/>
      <c r="BY821" s="29"/>
    </row>
    <row r="822" spans="43:79" x14ac:dyDescent="0.25"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/>
      <c r="BF822" s="29"/>
      <c r="BG822" s="29"/>
      <c r="BH822" s="29"/>
      <c r="BI822" s="36"/>
      <c r="BJ822" s="36"/>
      <c r="BK822" s="36"/>
      <c r="BL822" s="36"/>
      <c r="BM822" s="36"/>
      <c r="BN822" s="29"/>
      <c r="BO822" s="29"/>
      <c r="BP822" s="29"/>
      <c r="BQ822" s="29"/>
      <c r="BR822" s="29"/>
      <c r="BS822" s="29"/>
      <c r="BT822" s="29"/>
      <c r="BU822" s="29"/>
      <c r="BV822" s="29"/>
      <c r="BW822" s="29"/>
      <c r="BX822" s="29"/>
      <c r="BY822" s="29"/>
    </row>
    <row r="823" spans="43:79" x14ac:dyDescent="0.25"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G823" s="29"/>
      <c r="BH823" s="29"/>
      <c r="BI823" s="36"/>
      <c r="BJ823" s="36"/>
      <c r="BK823" s="36"/>
      <c r="BL823" s="36"/>
      <c r="BM823" s="36"/>
      <c r="BN823" s="29"/>
      <c r="BO823" s="29"/>
      <c r="BP823" s="29"/>
      <c r="BQ823" s="29"/>
      <c r="BR823" s="29"/>
      <c r="BS823" s="29"/>
      <c r="BT823" s="29"/>
      <c r="BU823" s="29"/>
      <c r="BV823" s="29"/>
      <c r="BW823" s="29"/>
      <c r="BX823" s="29"/>
      <c r="BY823" s="29"/>
    </row>
    <row r="824" spans="43:79" x14ac:dyDescent="0.25">
      <c r="AT824" s="29"/>
      <c r="AU824" s="29"/>
      <c r="AV824" s="29"/>
      <c r="AW824" s="29"/>
      <c r="AX824" s="29"/>
      <c r="AY824" s="29"/>
      <c r="AZ824" s="29"/>
      <c r="BA824" s="29"/>
      <c r="BB824" s="29"/>
      <c r="BC824" s="29"/>
      <c r="BD824" s="29"/>
      <c r="BE824" s="29"/>
      <c r="BF824" s="29"/>
      <c r="BG824" s="29"/>
      <c r="BH824" s="29"/>
      <c r="BI824" s="36"/>
      <c r="BJ824" s="36"/>
      <c r="BK824" s="36"/>
      <c r="BL824" s="36"/>
      <c r="BM824" s="36"/>
      <c r="BN824" s="29"/>
      <c r="BO824" s="29"/>
      <c r="BP824" s="29"/>
      <c r="BQ824" s="29"/>
      <c r="BR824" s="29"/>
      <c r="BS824" s="29"/>
      <c r="BT824" s="29"/>
      <c r="BU824" s="29"/>
      <c r="BV824" s="29"/>
      <c r="BW824" s="29"/>
      <c r="BX824" s="29"/>
      <c r="BY824" s="29"/>
    </row>
    <row r="825" spans="43:79" x14ac:dyDescent="0.25">
      <c r="AT825" s="29"/>
      <c r="AU825" s="29"/>
      <c r="AV825" s="29"/>
      <c r="AW825" s="29"/>
      <c r="AX825" s="29"/>
      <c r="AY825" s="29"/>
      <c r="AZ825" s="29"/>
      <c r="BA825" s="29"/>
      <c r="BB825" s="29"/>
      <c r="BC825" s="29"/>
      <c r="BD825" s="29"/>
      <c r="BE825" s="29"/>
      <c r="BF825" s="29"/>
      <c r="BG825" s="29"/>
      <c r="BH825" s="29"/>
      <c r="BI825" s="36"/>
      <c r="BJ825" s="36"/>
      <c r="BK825" s="36"/>
      <c r="BL825" s="36"/>
      <c r="BM825" s="36"/>
      <c r="BN825" s="29"/>
      <c r="BO825" s="29"/>
      <c r="BP825" s="29"/>
      <c r="BQ825" s="29"/>
      <c r="BR825" s="29"/>
      <c r="BS825" s="29"/>
      <c r="BT825" s="29"/>
      <c r="BU825" s="29"/>
      <c r="BV825" s="29"/>
      <c r="BW825" s="29"/>
      <c r="BX825" s="29"/>
      <c r="BY825" s="29"/>
    </row>
    <row r="826" spans="43:79" x14ac:dyDescent="0.25">
      <c r="AT826" s="29"/>
      <c r="AU826" s="29"/>
      <c r="AV826" s="29"/>
      <c r="AW826" s="29"/>
      <c r="AX826" s="29"/>
      <c r="AY826" s="29"/>
      <c r="AZ826" s="29"/>
      <c r="BA826" s="29"/>
      <c r="BB826" s="29"/>
      <c r="BC826" s="29"/>
      <c r="BD826" s="29"/>
      <c r="BE826" s="29"/>
      <c r="BF826" s="29"/>
      <c r="BG826" s="29"/>
      <c r="BH826" s="29"/>
      <c r="BI826" s="36"/>
      <c r="BJ826" s="36"/>
      <c r="BK826" s="36"/>
      <c r="BL826" s="36"/>
      <c r="BM826" s="36"/>
      <c r="BN826" s="29"/>
      <c r="BO826" s="29"/>
      <c r="BP826" s="29"/>
      <c r="BQ826" s="29"/>
      <c r="BR826" s="29"/>
      <c r="BS826" s="29"/>
      <c r="BT826" s="29"/>
      <c r="BU826" s="29"/>
      <c r="BV826" s="29"/>
      <c r="BW826" s="29"/>
      <c r="BX826" s="29"/>
      <c r="BY826" s="29"/>
    </row>
    <row r="827" spans="43:79" x14ac:dyDescent="0.25">
      <c r="AT827" s="29"/>
      <c r="AU827" s="29"/>
      <c r="AV827" s="29"/>
      <c r="AW827" s="29"/>
      <c r="AX827" s="29"/>
      <c r="AY827" s="29"/>
      <c r="AZ827" s="29"/>
      <c r="BA827" s="29"/>
      <c r="BB827" s="29"/>
      <c r="BC827" s="29"/>
      <c r="BD827" s="29"/>
      <c r="BE827" s="29"/>
      <c r="BF827" s="29"/>
      <c r="BG827" s="29"/>
      <c r="BH827" s="29"/>
      <c r="BI827" s="36"/>
      <c r="BJ827" s="36"/>
      <c r="BK827" s="36"/>
      <c r="BL827" s="36"/>
      <c r="BM827" s="36"/>
      <c r="BN827" s="29"/>
      <c r="BO827" s="29"/>
      <c r="BP827" s="29"/>
      <c r="BQ827" s="29"/>
      <c r="BR827" s="29"/>
      <c r="BS827" s="29"/>
      <c r="BT827" s="29"/>
      <c r="BU827" s="29"/>
      <c r="BV827" s="29"/>
      <c r="BW827" s="29"/>
      <c r="BX827" s="29"/>
      <c r="BY827" s="29"/>
    </row>
    <row r="828" spans="43:79" x14ac:dyDescent="0.25">
      <c r="AT828" s="29"/>
      <c r="AU828" s="29"/>
      <c r="AV828" s="29"/>
      <c r="AW828" s="29"/>
      <c r="AX828" s="29"/>
      <c r="AY828" s="29"/>
      <c r="AZ828" s="29"/>
      <c r="BA828" s="29"/>
      <c r="BB828" s="29"/>
      <c r="BC828" s="29"/>
      <c r="BD828" s="29"/>
      <c r="BE828" s="29"/>
      <c r="BF828" s="29"/>
      <c r="BG828" s="29"/>
      <c r="BH828" s="29"/>
      <c r="BI828" s="36"/>
      <c r="BJ828" s="36"/>
      <c r="BK828" s="36"/>
      <c r="BL828" s="36"/>
      <c r="BM828" s="36"/>
      <c r="BN828" s="29"/>
      <c r="BO828" s="29"/>
      <c r="BP828" s="29"/>
      <c r="BQ828" s="29"/>
      <c r="BR828" s="29"/>
      <c r="BS828" s="29"/>
      <c r="BT828" s="29"/>
      <c r="BU828" s="29"/>
      <c r="BV828" s="29"/>
      <c r="BW828" s="29"/>
      <c r="BX828" s="29"/>
      <c r="BY828" s="29"/>
    </row>
    <row r="829" spans="43:79" x14ac:dyDescent="0.25">
      <c r="AT829" s="29"/>
      <c r="AU829" s="29"/>
      <c r="AV829" s="29"/>
      <c r="AW829" s="29"/>
      <c r="AX829" s="29"/>
      <c r="AY829" s="29"/>
      <c r="AZ829" s="29"/>
      <c r="BA829" s="29"/>
      <c r="BB829" s="29"/>
      <c r="BC829" s="29"/>
      <c r="BD829" s="29"/>
      <c r="BE829" s="29"/>
      <c r="BF829" s="29"/>
      <c r="BG829" s="29"/>
      <c r="BH829" s="29"/>
      <c r="BI829" s="36"/>
      <c r="BJ829" s="36"/>
      <c r="BK829" s="36"/>
      <c r="BL829" s="36"/>
      <c r="BM829" s="36"/>
      <c r="BN829" s="29"/>
      <c r="BO829" s="29"/>
      <c r="BP829" s="29"/>
      <c r="BQ829" s="29"/>
      <c r="BR829" s="29"/>
      <c r="BS829" s="29"/>
      <c r="BT829" s="29"/>
      <c r="BU829" s="29"/>
      <c r="BV829" s="29"/>
      <c r="BW829" s="29"/>
      <c r="BX829" s="29"/>
      <c r="BY829" s="29"/>
    </row>
    <row r="830" spans="43:79" x14ac:dyDescent="0.25">
      <c r="AT830" s="29"/>
      <c r="AU830" s="29"/>
      <c r="AV830" s="29"/>
      <c r="AW830" s="29"/>
      <c r="AX830" s="29"/>
      <c r="AY830" s="29"/>
      <c r="AZ830" s="29"/>
      <c r="BA830" s="29"/>
      <c r="BB830" s="29"/>
      <c r="BC830" s="29"/>
      <c r="BD830" s="29"/>
      <c r="BE830" s="29"/>
      <c r="BF830" s="29"/>
      <c r="BG830" s="29"/>
      <c r="BH830" s="29"/>
      <c r="BI830" s="36"/>
      <c r="BJ830" s="36"/>
      <c r="BK830" s="36"/>
      <c r="BL830" s="36"/>
      <c r="BM830" s="36"/>
      <c r="BN830" s="29"/>
      <c r="BO830" s="29"/>
      <c r="BP830" s="29"/>
      <c r="BQ830" s="29"/>
      <c r="BR830" s="29"/>
      <c r="BS830" s="29"/>
      <c r="BT830" s="29"/>
      <c r="BU830" s="29"/>
      <c r="BV830" s="29"/>
      <c r="BW830" s="29"/>
      <c r="BX830" s="29"/>
      <c r="BY830" s="29"/>
    </row>
    <row r="831" spans="43:79" x14ac:dyDescent="0.25">
      <c r="AT831" s="29"/>
      <c r="AU831" s="29"/>
      <c r="AV831" s="29"/>
      <c r="AW831" s="29"/>
      <c r="AX831" s="29"/>
      <c r="AY831" s="29"/>
      <c r="AZ831" s="29"/>
      <c r="BA831" s="29"/>
      <c r="BB831" s="29"/>
      <c r="BC831" s="29"/>
      <c r="BD831" s="29"/>
      <c r="BE831" s="29"/>
      <c r="BF831" s="29"/>
      <c r="BG831" s="29"/>
      <c r="BH831" s="29"/>
      <c r="BI831" s="36"/>
      <c r="BJ831" s="36"/>
      <c r="BK831" s="36"/>
      <c r="BL831" s="36"/>
      <c r="BM831" s="36"/>
      <c r="BN831" s="29"/>
      <c r="BO831" s="29"/>
      <c r="BP831" s="29"/>
      <c r="BQ831" s="29"/>
      <c r="BR831" s="29"/>
      <c r="BS831" s="29"/>
      <c r="BT831" s="29"/>
      <c r="BU831" s="29"/>
      <c r="BV831" s="29"/>
      <c r="BW831" s="29"/>
      <c r="BX831" s="29"/>
      <c r="BY831" s="29"/>
    </row>
    <row r="832" spans="43:79" x14ac:dyDescent="0.25">
      <c r="AT832" s="29"/>
      <c r="AU832" s="29"/>
      <c r="AV832" s="29"/>
      <c r="AW832" s="29"/>
      <c r="AX832" s="29"/>
      <c r="AY832" s="29"/>
      <c r="AZ832" s="29"/>
      <c r="BA832" s="29"/>
      <c r="BB832" s="29"/>
      <c r="BC832" s="29"/>
      <c r="BD832" s="29"/>
      <c r="BE832" s="29"/>
      <c r="BF832" s="29"/>
      <c r="BG832" s="29"/>
      <c r="BH832" s="29"/>
      <c r="BI832" s="36"/>
      <c r="BJ832" s="36"/>
      <c r="BK832" s="36"/>
      <c r="BL832" s="36"/>
      <c r="BM832" s="36"/>
      <c r="BN832" s="29"/>
      <c r="BO832" s="29"/>
      <c r="BP832" s="29"/>
      <c r="BQ832" s="29"/>
      <c r="BR832" s="29"/>
      <c r="BS832" s="29"/>
      <c r="BT832" s="29"/>
      <c r="BU832" s="29"/>
      <c r="BV832" s="29"/>
      <c r="BW832" s="29"/>
      <c r="BX832" s="29"/>
      <c r="BY832" s="29"/>
    </row>
    <row r="833" spans="46:77" x14ac:dyDescent="0.25">
      <c r="AT833" s="29"/>
      <c r="AU833" s="29"/>
      <c r="AV833" s="29"/>
      <c r="AW833" s="29"/>
      <c r="AX833" s="29"/>
      <c r="AY833" s="29"/>
      <c r="AZ833" s="29"/>
      <c r="BA833" s="29"/>
      <c r="BB833" s="29"/>
      <c r="BC833" s="29"/>
      <c r="BD833" s="29"/>
      <c r="BE833" s="29"/>
      <c r="BF833" s="29"/>
      <c r="BG833" s="29"/>
      <c r="BH833" s="29"/>
      <c r="BI833" s="36"/>
      <c r="BJ833" s="36"/>
      <c r="BK833" s="36"/>
      <c r="BL833" s="36"/>
      <c r="BM833" s="36"/>
      <c r="BN833" s="29"/>
      <c r="BO833" s="29"/>
      <c r="BP833" s="29"/>
      <c r="BQ833" s="29"/>
      <c r="BR833" s="29"/>
      <c r="BS833" s="29"/>
      <c r="BT833" s="29"/>
      <c r="BU833" s="29"/>
      <c r="BV833" s="29"/>
      <c r="BW833" s="29"/>
      <c r="BX833" s="29"/>
      <c r="BY833" s="29"/>
    </row>
    <row r="834" spans="46:77" x14ac:dyDescent="0.25">
      <c r="AT834" s="29"/>
      <c r="AU834" s="29"/>
      <c r="AV834" s="29"/>
      <c r="AW834" s="29"/>
      <c r="AX834" s="29"/>
      <c r="AY834" s="29"/>
      <c r="AZ834" s="29"/>
      <c r="BA834" s="29"/>
      <c r="BB834" s="29"/>
      <c r="BC834" s="29"/>
      <c r="BD834" s="29"/>
      <c r="BE834" s="29"/>
      <c r="BF834" s="29"/>
      <c r="BG834" s="29"/>
      <c r="BH834" s="29"/>
      <c r="BI834" s="36"/>
      <c r="BJ834" s="36"/>
      <c r="BK834" s="36"/>
      <c r="BL834" s="36"/>
      <c r="BM834" s="36"/>
      <c r="BN834" s="29"/>
      <c r="BO834" s="29"/>
      <c r="BP834" s="29"/>
      <c r="BQ834" s="29"/>
      <c r="BR834" s="29"/>
      <c r="BS834" s="29"/>
      <c r="BT834" s="29"/>
      <c r="BU834" s="29"/>
      <c r="BV834" s="29"/>
      <c r="BW834" s="29"/>
      <c r="BX834" s="29"/>
      <c r="BY834" s="29"/>
    </row>
    <row r="835" spans="46:77" x14ac:dyDescent="0.25">
      <c r="AT835" s="29"/>
      <c r="AU835" s="29"/>
      <c r="AV835" s="29"/>
      <c r="AW835" s="29"/>
      <c r="AX835" s="29"/>
      <c r="AY835" s="29"/>
      <c r="AZ835" s="29"/>
      <c r="BA835" s="29"/>
      <c r="BB835" s="29"/>
      <c r="BC835" s="29"/>
      <c r="BD835" s="29"/>
      <c r="BE835" s="29"/>
      <c r="BF835" s="29"/>
      <c r="BG835" s="29"/>
      <c r="BH835" s="29"/>
      <c r="BI835" s="36"/>
      <c r="BJ835" s="36"/>
      <c r="BK835" s="36"/>
      <c r="BL835" s="36"/>
      <c r="BM835" s="36"/>
      <c r="BN835" s="29"/>
      <c r="BO835" s="29"/>
      <c r="BP835" s="29"/>
      <c r="BQ835" s="29"/>
      <c r="BR835" s="29"/>
      <c r="BS835" s="29"/>
      <c r="BT835" s="29"/>
      <c r="BU835" s="29"/>
      <c r="BV835" s="29"/>
      <c r="BW835" s="29"/>
      <c r="BX835" s="29"/>
      <c r="BY835" s="29"/>
    </row>
    <row r="836" spans="46:77" x14ac:dyDescent="0.25">
      <c r="AT836" s="29"/>
      <c r="AU836" s="29"/>
      <c r="AV836" s="29"/>
      <c r="AW836" s="29"/>
      <c r="AX836" s="29"/>
      <c r="AY836" s="29"/>
      <c r="AZ836" s="29"/>
      <c r="BA836" s="29"/>
      <c r="BB836" s="29"/>
      <c r="BC836" s="29"/>
      <c r="BD836" s="29"/>
      <c r="BE836" s="29"/>
      <c r="BF836" s="29"/>
      <c r="BG836" s="29"/>
      <c r="BH836" s="29"/>
      <c r="BI836" s="36"/>
      <c r="BJ836" s="36"/>
      <c r="BK836" s="36"/>
      <c r="BL836" s="36"/>
      <c r="BM836" s="36"/>
      <c r="BN836" s="29"/>
      <c r="BO836" s="29"/>
      <c r="BP836" s="29"/>
      <c r="BQ836" s="29"/>
      <c r="BR836" s="29"/>
      <c r="BS836" s="29"/>
      <c r="BT836" s="29"/>
      <c r="BU836" s="29"/>
      <c r="BV836" s="29"/>
      <c r="BW836" s="29"/>
      <c r="BX836" s="29"/>
      <c r="BY836" s="29"/>
    </row>
    <row r="837" spans="46:77" x14ac:dyDescent="0.25"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G837" s="29"/>
      <c r="BH837" s="29"/>
      <c r="BI837" s="36"/>
      <c r="BJ837" s="36"/>
      <c r="BK837" s="36"/>
      <c r="BL837" s="36"/>
      <c r="BM837" s="36"/>
      <c r="BN837" s="29"/>
      <c r="BO837" s="29"/>
      <c r="BP837" s="29"/>
      <c r="BQ837" s="29"/>
      <c r="BR837" s="29"/>
      <c r="BS837" s="29"/>
      <c r="BT837" s="29"/>
      <c r="BU837" s="29"/>
      <c r="BV837" s="29"/>
      <c r="BW837" s="29"/>
      <c r="BX837" s="29"/>
      <c r="BY837" s="29"/>
    </row>
    <row r="838" spans="46:77" x14ac:dyDescent="0.25"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G838" s="29"/>
      <c r="BH838" s="29"/>
      <c r="BI838" s="36"/>
      <c r="BJ838" s="36"/>
      <c r="BK838" s="36"/>
      <c r="BL838" s="36"/>
      <c r="BM838" s="36"/>
      <c r="BN838" s="29"/>
      <c r="BO838" s="29"/>
      <c r="BP838" s="29"/>
      <c r="BQ838" s="29"/>
      <c r="BR838" s="29"/>
      <c r="BS838" s="29"/>
      <c r="BT838" s="29"/>
      <c r="BU838" s="29"/>
      <c r="BV838" s="29"/>
      <c r="BW838" s="29"/>
      <c r="BX838" s="29"/>
      <c r="BY838" s="29"/>
    </row>
    <row r="839" spans="46:77" x14ac:dyDescent="0.25">
      <c r="AT839" s="29"/>
      <c r="AU839" s="29"/>
      <c r="AV839" s="29"/>
      <c r="AW839" s="29"/>
      <c r="AX839" s="29"/>
      <c r="AY839" s="29"/>
      <c r="AZ839" s="29"/>
      <c r="BA839" s="29"/>
      <c r="BB839" s="29"/>
      <c r="BC839" s="29"/>
      <c r="BD839" s="29"/>
      <c r="BE839" s="29"/>
      <c r="BF839" s="29"/>
      <c r="BG839" s="29"/>
      <c r="BH839" s="29"/>
      <c r="BI839" s="36"/>
      <c r="BJ839" s="36"/>
      <c r="BK839" s="36"/>
      <c r="BL839" s="36"/>
      <c r="BM839" s="36"/>
      <c r="BN839" s="29"/>
      <c r="BO839" s="29"/>
      <c r="BP839" s="29"/>
      <c r="BQ839" s="29"/>
      <c r="BR839" s="29"/>
      <c r="BS839" s="29"/>
      <c r="BT839" s="29"/>
      <c r="BU839" s="29"/>
      <c r="BV839" s="29"/>
      <c r="BW839" s="29"/>
      <c r="BX839" s="29"/>
      <c r="BY839" s="29"/>
    </row>
    <row r="840" spans="46:77" x14ac:dyDescent="0.25">
      <c r="AT840" s="29"/>
      <c r="AU840" s="29"/>
      <c r="AV840" s="29"/>
      <c r="AW840" s="29"/>
      <c r="AX840" s="29"/>
      <c r="AY840" s="29"/>
      <c r="AZ840" s="29"/>
      <c r="BA840" s="29"/>
      <c r="BB840" s="29"/>
      <c r="BC840" s="29"/>
      <c r="BD840" s="29"/>
      <c r="BE840" s="29"/>
      <c r="BF840" s="29"/>
      <c r="BG840" s="29"/>
      <c r="BH840" s="29"/>
      <c r="BI840" s="36"/>
      <c r="BJ840" s="36"/>
      <c r="BK840" s="36"/>
      <c r="BL840" s="36"/>
      <c r="BM840" s="36"/>
      <c r="BN840" s="29"/>
      <c r="BO840" s="29"/>
      <c r="BP840" s="29"/>
      <c r="BQ840" s="29"/>
      <c r="BR840" s="29"/>
      <c r="BS840" s="29"/>
      <c r="BT840" s="29"/>
      <c r="BU840" s="29"/>
      <c r="BV840" s="29"/>
      <c r="BW840" s="29"/>
      <c r="BX840" s="29"/>
      <c r="BY840" s="29"/>
    </row>
    <row r="841" spans="46:77" ht="15" customHeight="1" x14ac:dyDescent="0.25"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  <c r="BD841" s="29"/>
      <c r="BE841" s="29"/>
      <c r="BF841" s="29"/>
      <c r="BG841" s="29"/>
      <c r="BH841" s="29"/>
      <c r="BI841" s="36"/>
      <c r="BJ841" s="36"/>
      <c r="BK841" s="36"/>
      <c r="BL841" s="36"/>
      <c r="BM841" s="36"/>
      <c r="BN841" s="29"/>
      <c r="BO841" s="29"/>
      <c r="BP841" s="29"/>
      <c r="BQ841" s="29"/>
      <c r="BR841" s="29"/>
      <c r="BS841" s="29"/>
      <c r="BT841" s="29"/>
      <c r="BU841" s="29"/>
      <c r="BV841" s="29"/>
      <c r="BW841" s="29"/>
      <c r="BX841" s="29"/>
      <c r="BY841" s="29"/>
    </row>
    <row r="842" spans="46:77" x14ac:dyDescent="0.25"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G842" s="29"/>
      <c r="BH842" s="29"/>
      <c r="BI842" s="36"/>
      <c r="BJ842" s="36"/>
      <c r="BK842" s="36"/>
      <c r="BL842" s="36"/>
      <c r="BM842" s="36"/>
      <c r="BN842" s="29"/>
      <c r="BO842" s="29"/>
      <c r="BP842" s="29"/>
      <c r="BQ842" s="29"/>
      <c r="BR842" s="29"/>
      <c r="BS842" s="29"/>
      <c r="BT842" s="29"/>
      <c r="BU842" s="29"/>
      <c r="BV842" s="29"/>
      <c r="BW842" s="29"/>
      <c r="BX842" s="29"/>
      <c r="BY842" s="29"/>
    </row>
    <row r="843" spans="46:77" x14ac:dyDescent="0.25"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G843" s="29"/>
      <c r="BH843" s="29"/>
      <c r="BI843" s="36"/>
      <c r="BJ843" s="36"/>
      <c r="BK843" s="36"/>
      <c r="BL843" s="36"/>
      <c r="BM843" s="36"/>
      <c r="BN843" s="29"/>
      <c r="BO843" s="29"/>
      <c r="BP843" s="29"/>
      <c r="BQ843" s="29"/>
      <c r="BR843" s="29"/>
      <c r="BS843" s="29"/>
      <c r="BT843" s="29"/>
      <c r="BU843" s="29"/>
      <c r="BV843" s="29"/>
      <c r="BW843" s="29"/>
      <c r="BX843" s="29"/>
      <c r="BY843" s="29"/>
    </row>
    <row r="844" spans="46:77" x14ac:dyDescent="0.25"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  <c r="BD844" s="29"/>
      <c r="BE844" s="29"/>
      <c r="BF844" s="29"/>
      <c r="BG844" s="29"/>
      <c r="BH844" s="29"/>
      <c r="BI844" s="36"/>
      <c r="BJ844" s="36"/>
      <c r="BK844" s="36"/>
      <c r="BL844" s="36"/>
      <c r="BM844" s="36"/>
      <c r="BN844" s="29"/>
      <c r="BO844" s="29"/>
      <c r="BP844" s="29"/>
      <c r="BQ844" s="29"/>
      <c r="BR844" s="29"/>
      <c r="BS844" s="29"/>
      <c r="BT844" s="29"/>
      <c r="BU844" s="29"/>
      <c r="BV844" s="29"/>
      <c r="BW844" s="29"/>
      <c r="BX844" s="29"/>
      <c r="BY844" s="29"/>
    </row>
    <row r="845" spans="46:77" x14ac:dyDescent="0.25"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  <c r="BD845" s="29"/>
      <c r="BE845" s="29"/>
      <c r="BF845" s="29"/>
      <c r="BG845" s="29"/>
      <c r="BH845" s="29"/>
      <c r="BI845" s="36"/>
      <c r="BJ845" s="36"/>
      <c r="BK845" s="36"/>
      <c r="BL845" s="36"/>
      <c r="BM845" s="36"/>
      <c r="BN845" s="29"/>
      <c r="BO845" s="29"/>
      <c r="BP845" s="29"/>
      <c r="BQ845" s="29"/>
      <c r="BR845" s="29"/>
      <c r="BS845" s="29"/>
      <c r="BT845" s="29"/>
      <c r="BU845" s="29"/>
      <c r="BV845" s="29"/>
      <c r="BW845" s="29"/>
      <c r="BX845" s="29"/>
      <c r="BY845" s="29"/>
    </row>
    <row r="846" spans="46:77" x14ac:dyDescent="0.25">
      <c r="AT846" s="29"/>
      <c r="AU846" s="29"/>
      <c r="AV846" s="29"/>
      <c r="AW846" s="29"/>
      <c r="AX846" s="29"/>
      <c r="AY846" s="29"/>
      <c r="AZ846" s="29"/>
      <c r="BA846" s="29"/>
      <c r="BB846" s="29"/>
      <c r="BC846" s="29"/>
      <c r="BD846" s="29"/>
      <c r="BE846" s="29"/>
      <c r="BF846" s="29"/>
      <c r="BG846" s="29"/>
      <c r="BH846" s="29"/>
      <c r="BI846" s="36"/>
      <c r="BJ846" s="36"/>
      <c r="BK846" s="36"/>
      <c r="BL846" s="36"/>
      <c r="BM846" s="36"/>
      <c r="BN846" s="29"/>
      <c r="BO846" s="29"/>
      <c r="BP846" s="29"/>
      <c r="BQ846" s="29"/>
      <c r="BR846" s="29"/>
      <c r="BS846" s="29"/>
      <c r="BT846" s="29"/>
      <c r="BU846" s="29"/>
      <c r="BV846" s="29"/>
      <c r="BW846" s="29"/>
      <c r="BX846" s="29"/>
      <c r="BY846" s="29"/>
    </row>
    <row r="847" spans="46:77" x14ac:dyDescent="0.25">
      <c r="AT847" s="29"/>
      <c r="AU847" s="29"/>
      <c r="AV847" s="29"/>
      <c r="AW847" s="29"/>
      <c r="AX847" s="29"/>
      <c r="AY847" s="29"/>
      <c r="AZ847" s="29"/>
      <c r="BA847" s="29"/>
      <c r="BB847" s="29"/>
      <c r="BC847" s="29"/>
      <c r="BD847" s="29"/>
      <c r="BE847" s="29"/>
      <c r="BF847" s="29"/>
      <c r="BG847" s="29"/>
      <c r="BH847" s="29"/>
      <c r="BI847" s="36"/>
      <c r="BJ847" s="36"/>
      <c r="BK847" s="36"/>
      <c r="BL847" s="36"/>
      <c r="BM847" s="36"/>
      <c r="BN847" s="29"/>
      <c r="BO847" s="29"/>
      <c r="BP847" s="29"/>
      <c r="BQ847" s="29"/>
      <c r="BR847" s="29"/>
      <c r="BS847" s="29"/>
      <c r="BT847" s="29"/>
      <c r="BU847" s="29"/>
      <c r="BV847" s="29"/>
      <c r="BW847" s="29"/>
      <c r="BX847" s="29"/>
      <c r="BY847" s="29"/>
    </row>
    <row r="848" spans="46:77" x14ac:dyDescent="0.25">
      <c r="AT848" s="29"/>
      <c r="AU848" s="29"/>
      <c r="AV848" s="29"/>
      <c r="AW848" s="29"/>
      <c r="AX848" s="29"/>
      <c r="AY848" s="29"/>
      <c r="AZ848" s="29"/>
      <c r="BA848" s="29"/>
      <c r="BB848" s="29"/>
      <c r="BC848" s="29"/>
      <c r="BD848" s="29"/>
      <c r="BE848" s="29"/>
      <c r="BF848" s="29"/>
      <c r="BG848" s="29"/>
      <c r="BH848" s="29"/>
      <c r="BI848" s="36"/>
      <c r="BJ848" s="36"/>
      <c r="BK848" s="36"/>
      <c r="BL848" s="36"/>
      <c r="BM848" s="36"/>
      <c r="BN848" s="29"/>
      <c r="BO848" s="29"/>
      <c r="BP848" s="29"/>
      <c r="BQ848" s="29"/>
      <c r="BR848" s="29"/>
      <c r="BS848" s="29"/>
      <c r="BT848" s="29"/>
      <c r="BU848" s="29"/>
      <c r="BV848" s="29"/>
      <c r="BW848" s="29"/>
      <c r="BX848" s="29"/>
      <c r="BY848" s="29"/>
    </row>
    <row r="849" spans="46:77" x14ac:dyDescent="0.25">
      <c r="AT849" s="29"/>
      <c r="AU849" s="29"/>
      <c r="AV849" s="29"/>
      <c r="AW849" s="29"/>
      <c r="AX849" s="29"/>
      <c r="AY849" s="29"/>
      <c r="AZ849" s="29"/>
      <c r="BA849" s="29"/>
      <c r="BB849" s="29"/>
      <c r="BC849" s="29"/>
      <c r="BD849" s="29"/>
      <c r="BE849" s="29"/>
      <c r="BF849" s="29"/>
      <c r="BG849" s="29"/>
      <c r="BH849" s="29"/>
      <c r="BI849" s="36"/>
      <c r="BJ849" s="36"/>
      <c r="BK849" s="36"/>
      <c r="BL849" s="36"/>
      <c r="BM849" s="36"/>
      <c r="BN849" s="29"/>
      <c r="BO849" s="29"/>
      <c r="BP849" s="29"/>
      <c r="BQ849" s="29"/>
      <c r="BR849" s="29"/>
      <c r="BS849" s="29"/>
      <c r="BT849" s="29"/>
      <c r="BU849" s="29"/>
      <c r="BV849" s="29"/>
      <c r="BW849" s="29"/>
      <c r="BX849" s="29"/>
      <c r="BY849" s="29"/>
    </row>
    <row r="850" spans="46:77" x14ac:dyDescent="0.25">
      <c r="AT850" s="29"/>
      <c r="AU850" s="29"/>
      <c r="AV850" s="29"/>
      <c r="AW850" s="29"/>
      <c r="AX850" s="29"/>
      <c r="AY850" s="29"/>
      <c r="AZ850" s="29"/>
      <c r="BA850" s="29"/>
      <c r="BB850" s="29"/>
      <c r="BC850" s="29"/>
      <c r="BD850" s="29"/>
      <c r="BE850" s="29"/>
      <c r="BF850" s="29"/>
      <c r="BG850" s="29"/>
      <c r="BH850" s="29"/>
      <c r="BI850" s="36"/>
      <c r="BJ850" s="36"/>
      <c r="BK850" s="36"/>
      <c r="BL850" s="36"/>
      <c r="BM850" s="36"/>
      <c r="BN850" s="29"/>
      <c r="BO850" s="29"/>
      <c r="BP850" s="29"/>
      <c r="BQ850" s="29"/>
      <c r="BR850" s="29"/>
      <c r="BS850" s="29"/>
      <c r="BT850" s="29"/>
      <c r="BU850" s="29"/>
      <c r="BV850" s="29"/>
      <c r="BW850" s="29"/>
      <c r="BX850" s="29"/>
      <c r="BY850" s="29"/>
    </row>
    <row r="851" spans="46:77" x14ac:dyDescent="0.25">
      <c r="AT851" s="29"/>
      <c r="AU851" s="29"/>
      <c r="AV851" s="29"/>
      <c r="AW851" s="29"/>
      <c r="AX851" s="29"/>
      <c r="AY851" s="29"/>
      <c r="AZ851" s="29"/>
      <c r="BA851" s="29"/>
      <c r="BB851" s="29"/>
      <c r="BC851" s="29"/>
      <c r="BD851" s="29"/>
      <c r="BE851" s="29"/>
      <c r="BF851" s="29"/>
      <c r="BG851" s="29"/>
      <c r="BH851" s="29"/>
      <c r="BI851" s="36"/>
      <c r="BJ851" s="36"/>
      <c r="BK851" s="36"/>
      <c r="BL851" s="36"/>
      <c r="BM851" s="36"/>
      <c r="BN851" s="29"/>
      <c r="BO851" s="29"/>
      <c r="BP851" s="29"/>
      <c r="BQ851" s="29"/>
      <c r="BR851" s="29"/>
      <c r="BS851" s="29"/>
      <c r="BT851" s="29"/>
      <c r="BU851" s="29"/>
      <c r="BV851" s="29"/>
      <c r="BW851" s="29"/>
      <c r="BX851" s="29"/>
      <c r="BY851" s="29"/>
    </row>
    <row r="852" spans="46:77" x14ac:dyDescent="0.25">
      <c r="AT852" s="29"/>
      <c r="AU852" s="29"/>
      <c r="AV852" s="29"/>
      <c r="AW852" s="29"/>
      <c r="AX852" s="29"/>
      <c r="AY852" s="29"/>
      <c r="AZ852" s="29"/>
      <c r="BA852" s="29"/>
      <c r="BB852" s="29"/>
      <c r="BC852" s="29"/>
      <c r="BD852" s="29"/>
      <c r="BE852" s="29"/>
      <c r="BF852" s="29"/>
      <c r="BG852" s="29"/>
      <c r="BH852" s="29"/>
      <c r="BI852" s="36"/>
      <c r="BJ852" s="36"/>
      <c r="BK852" s="36"/>
      <c r="BL852" s="36"/>
      <c r="BM852" s="36"/>
      <c r="BN852" s="29"/>
      <c r="BO852" s="29"/>
      <c r="BP852" s="29"/>
      <c r="BQ852" s="29"/>
      <c r="BR852" s="29"/>
      <c r="BS852" s="29"/>
      <c r="BT852" s="29"/>
      <c r="BU852" s="29"/>
      <c r="BV852" s="29"/>
      <c r="BW852" s="29"/>
      <c r="BX852" s="29"/>
      <c r="BY852" s="29"/>
    </row>
    <row r="853" spans="46:77" x14ac:dyDescent="0.25">
      <c r="AT853" s="29"/>
      <c r="AU853" s="29"/>
      <c r="AV853" s="29"/>
      <c r="AW853" s="29"/>
      <c r="AX853" s="29"/>
      <c r="AY853" s="29"/>
      <c r="AZ853" s="29"/>
      <c r="BA853" s="29"/>
      <c r="BB853" s="29"/>
      <c r="BC853" s="29"/>
      <c r="BD853" s="29"/>
      <c r="BE853" s="29"/>
      <c r="BF853" s="29"/>
      <c r="BG853" s="29"/>
      <c r="BH853" s="29"/>
      <c r="BI853" s="36"/>
      <c r="BJ853" s="36"/>
      <c r="BK853" s="36"/>
      <c r="BL853" s="36"/>
      <c r="BM853" s="36"/>
      <c r="BN853" s="29"/>
      <c r="BO853" s="29"/>
      <c r="BP853" s="29"/>
      <c r="BQ853" s="29"/>
      <c r="BR853" s="29"/>
      <c r="BS853" s="29"/>
      <c r="BT853" s="29"/>
      <c r="BU853" s="29"/>
      <c r="BV853" s="29"/>
      <c r="BW853" s="29"/>
      <c r="BX853" s="29"/>
      <c r="BY853" s="29"/>
    </row>
    <row r="854" spans="46:77" x14ac:dyDescent="0.25">
      <c r="AT854" s="29"/>
      <c r="AU854" s="29"/>
      <c r="AV854" s="29"/>
      <c r="AW854" s="29"/>
      <c r="AX854" s="29"/>
      <c r="AY854" s="29"/>
      <c r="AZ854" s="29"/>
      <c r="BA854" s="29"/>
      <c r="BB854" s="29"/>
      <c r="BC854" s="29"/>
      <c r="BD854" s="29"/>
      <c r="BE854" s="29"/>
      <c r="BF854" s="29"/>
      <c r="BG854" s="29"/>
      <c r="BH854" s="29"/>
      <c r="BI854" s="36"/>
      <c r="BJ854" s="36"/>
      <c r="BK854" s="36"/>
      <c r="BL854" s="36"/>
      <c r="BM854" s="36"/>
      <c r="BN854" s="29"/>
      <c r="BO854" s="29"/>
      <c r="BP854" s="29"/>
      <c r="BQ854" s="29"/>
      <c r="BR854" s="29"/>
      <c r="BS854" s="29"/>
      <c r="BT854" s="29"/>
      <c r="BU854" s="29"/>
      <c r="BV854" s="29"/>
      <c r="BW854" s="29"/>
      <c r="BX854" s="29"/>
      <c r="BY854" s="29"/>
    </row>
    <row r="855" spans="46:77" x14ac:dyDescent="0.25">
      <c r="AT855" s="29"/>
      <c r="AU855" s="29"/>
      <c r="AV855" s="29"/>
      <c r="AW855" s="29"/>
      <c r="AX855" s="29"/>
      <c r="AY855" s="29"/>
      <c r="AZ855" s="29"/>
      <c r="BA855" s="29"/>
      <c r="BB855" s="29"/>
      <c r="BC855" s="29"/>
      <c r="BD855" s="29"/>
      <c r="BE855" s="29"/>
      <c r="BF855" s="29"/>
      <c r="BG855" s="29"/>
      <c r="BH855" s="29"/>
      <c r="BI855" s="36"/>
      <c r="BJ855" s="36"/>
      <c r="BK855" s="36"/>
      <c r="BL855" s="36"/>
      <c r="BM855" s="36"/>
      <c r="BN855" s="29"/>
      <c r="BO855" s="29"/>
      <c r="BP855" s="29"/>
      <c r="BQ855" s="29"/>
      <c r="BR855" s="29"/>
      <c r="BS855" s="29"/>
      <c r="BT855" s="29"/>
      <c r="BU855" s="29"/>
      <c r="BV855" s="29"/>
      <c r="BW855" s="29"/>
      <c r="BX855" s="29"/>
      <c r="BY855" s="29"/>
    </row>
    <row r="856" spans="46:77" x14ac:dyDescent="0.25"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  <c r="BD856" s="29"/>
      <c r="BE856" s="29"/>
      <c r="BF856" s="29"/>
      <c r="BG856" s="29"/>
      <c r="BH856" s="29"/>
      <c r="BI856" s="36"/>
      <c r="BJ856" s="36"/>
      <c r="BK856" s="36"/>
      <c r="BL856" s="36"/>
      <c r="BM856" s="36"/>
      <c r="BN856" s="29"/>
      <c r="BO856" s="29"/>
      <c r="BP856" s="29"/>
      <c r="BQ856" s="29"/>
      <c r="BR856" s="29"/>
      <c r="BS856" s="29"/>
      <c r="BT856" s="29"/>
      <c r="BU856" s="29"/>
      <c r="BV856" s="29"/>
      <c r="BW856" s="29"/>
      <c r="BX856" s="29"/>
      <c r="BY856" s="29"/>
    </row>
    <row r="857" spans="46:77" x14ac:dyDescent="0.25">
      <c r="AT857" s="29"/>
      <c r="AU857" s="29"/>
      <c r="AV857" s="29"/>
      <c r="AW857" s="29"/>
      <c r="AX857" s="29"/>
      <c r="AY857" s="29"/>
      <c r="AZ857" s="29"/>
      <c r="BA857" s="29"/>
      <c r="BB857" s="29"/>
      <c r="BC857" s="29"/>
      <c r="BD857" s="29"/>
      <c r="BE857" s="29"/>
      <c r="BF857" s="29"/>
      <c r="BG857" s="29"/>
      <c r="BH857" s="29"/>
      <c r="BI857" s="36"/>
      <c r="BJ857" s="36"/>
      <c r="BK857" s="36"/>
      <c r="BL857" s="36"/>
      <c r="BM857" s="36"/>
      <c r="BN857" s="29"/>
      <c r="BO857" s="29"/>
      <c r="BP857" s="29"/>
      <c r="BQ857" s="29"/>
      <c r="BR857" s="29"/>
      <c r="BS857" s="29"/>
      <c r="BT857" s="29"/>
      <c r="BU857" s="29"/>
      <c r="BV857" s="29"/>
      <c r="BW857" s="29"/>
      <c r="BX857" s="29"/>
      <c r="BY857" s="29"/>
    </row>
    <row r="858" spans="46:77" x14ac:dyDescent="0.25">
      <c r="AT858" s="29"/>
      <c r="AU858" s="29"/>
      <c r="AV858" s="29"/>
      <c r="AW858" s="29"/>
      <c r="AX858" s="29"/>
      <c r="AY858" s="29"/>
      <c r="AZ858" s="29"/>
      <c r="BA858" s="29"/>
      <c r="BB858" s="29"/>
      <c r="BC858" s="29"/>
      <c r="BD858" s="29"/>
      <c r="BE858" s="29"/>
      <c r="BF858" s="29"/>
      <c r="BG858" s="29"/>
      <c r="BH858" s="29"/>
      <c r="BI858" s="36"/>
      <c r="BJ858" s="36"/>
      <c r="BK858" s="36"/>
      <c r="BL858" s="36"/>
      <c r="BM858" s="36"/>
      <c r="BN858" s="29"/>
      <c r="BO858" s="29"/>
      <c r="BP858" s="29"/>
      <c r="BQ858" s="29"/>
      <c r="BR858" s="29"/>
      <c r="BS858" s="29"/>
      <c r="BT858" s="29"/>
      <c r="BU858" s="29"/>
      <c r="BV858" s="29"/>
      <c r="BW858" s="29"/>
      <c r="BX858" s="29"/>
      <c r="BY858" s="29"/>
    </row>
    <row r="859" spans="46:77" x14ac:dyDescent="0.25">
      <c r="AT859" s="29"/>
      <c r="AU859" s="29"/>
      <c r="AV859" s="29"/>
      <c r="AW859" s="29"/>
      <c r="AX859" s="29"/>
      <c r="AY859" s="29"/>
      <c r="AZ859" s="29"/>
      <c r="BA859" s="29"/>
      <c r="BB859" s="29"/>
      <c r="BC859" s="29"/>
      <c r="BD859" s="29"/>
      <c r="BE859" s="29"/>
      <c r="BF859" s="29"/>
      <c r="BG859" s="29"/>
      <c r="BH859" s="29"/>
      <c r="BI859" s="36"/>
      <c r="BJ859" s="36"/>
      <c r="BK859" s="36"/>
      <c r="BL859" s="36"/>
      <c r="BM859" s="36"/>
      <c r="BN859" s="29"/>
      <c r="BO859" s="29"/>
      <c r="BP859" s="29"/>
      <c r="BQ859" s="29"/>
      <c r="BR859" s="29"/>
      <c r="BS859" s="29"/>
      <c r="BT859" s="29"/>
      <c r="BU859" s="29"/>
      <c r="BV859" s="29"/>
      <c r="BW859" s="29"/>
      <c r="BX859" s="29"/>
      <c r="BY859" s="29"/>
    </row>
    <row r="860" spans="46:77" x14ac:dyDescent="0.25">
      <c r="AT860" s="29"/>
      <c r="AU860" s="29"/>
      <c r="AV860" s="29"/>
      <c r="AW860" s="29"/>
      <c r="AX860" s="29"/>
      <c r="AY860" s="29"/>
      <c r="AZ860" s="29"/>
      <c r="BA860" s="29"/>
      <c r="BB860" s="29"/>
      <c r="BC860" s="29"/>
      <c r="BD860" s="29"/>
      <c r="BE860" s="29"/>
      <c r="BF860" s="29"/>
      <c r="BG860" s="29"/>
      <c r="BH860" s="29"/>
      <c r="BI860" s="36"/>
      <c r="BJ860" s="36"/>
      <c r="BK860" s="36"/>
      <c r="BL860" s="36"/>
      <c r="BM860" s="36"/>
      <c r="BN860" s="29"/>
      <c r="BO860" s="29"/>
      <c r="BP860" s="29"/>
      <c r="BQ860" s="29"/>
      <c r="BR860" s="29"/>
      <c r="BS860" s="29"/>
      <c r="BT860" s="29"/>
      <c r="BU860" s="29"/>
      <c r="BV860" s="29"/>
      <c r="BW860" s="29"/>
      <c r="BX860" s="29"/>
      <c r="BY860" s="29"/>
    </row>
    <row r="861" spans="46:77" x14ac:dyDescent="0.25">
      <c r="AT861" s="29"/>
      <c r="AU861" s="29"/>
      <c r="AV861" s="29"/>
      <c r="AW861" s="29"/>
      <c r="AX861" s="29"/>
      <c r="AY861" s="29"/>
      <c r="AZ861" s="29"/>
      <c r="BA861" s="29"/>
      <c r="BB861" s="29"/>
      <c r="BC861" s="29"/>
      <c r="BD861" s="29"/>
      <c r="BE861" s="29"/>
      <c r="BF861" s="29"/>
      <c r="BG861" s="29"/>
      <c r="BH861" s="29"/>
      <c r="BI861" s="36"/>
      <c r="BJ861" s="36"/>
      <c r="BK861" s="36"/>
      <c r="BL861" s="36"/>
      <c r="BM861" s="36"/>
      <c r="BN861" s="29"/>
      <c r="BO861" s="29"/>
      <c r="BP861" s="29"/>
      <c r="BQ861" s="29"/>
      <c r="BR861" s="29"/>
      <c r="BS861" s="29"/>
      <c r="BT861" s="29"/>
      <c r="BU861" s="29"/>
      <c r="BV861" s="29"/>
      <c r="BW861" s="29"/>
      <c r="BX861" s="29"/>
      <c r="BY861" s="29"/>
    </row>
    <row r="862" spans="46:77" x14ac:dyDescent="0.25">
      <c r="AT862" s="29"/>
      <c r="AU862" s="29"/>
      <c r="AV862" s="29"/>
      <c r="AW862" s="29"/>
      <c r="AX862" s="29"/>
      <c r="AY862" s="29"/>
      <c r="AZ862" s="29"/>
      <c r="BA862" s="29"/>
      <c r="BB862" s="29"/>
      <c r="BC862" s="29"/>
      <c r="BD862" s="29"/>
      <c r="BE862" s="29"/>
      <c r="BF862" s="29"/>
      <c r="BG862" s="29"/>
      <c r="BH862" s="29"/>
      <c r="BI862" s="36"/>
      <c r="BJ862" s="36"/>
      <c r="BK862" s="36"/>
      <c r="BL862" s="36"/>
      <c r="BM862" s="36"/>
      <c r="BN862" s="29"/>
      <c r="BO862" s="29"/>
      <c r="BP862" s="29"/>
      <c r="BQ862" s="29"/>
      <c r="BR862" s="29"/>
      <c r="BS862" s="29"/>
      <c r="BT862" s="29"/>
      <c r="BU862" s="29"/>
      <c r="BV862" s="29"/>
      <c r="BW862" s="29"/>
      <c r="BX862" s="29"/>
      <c r="BY862" s="29"/>
    </row>
    <row r="863" spans="46:77" x14ac:dyDescent="0.25">
      <c r="AT863" s="29"/>
      <c r="AU863" s="29"/>
      <c r="AV863" s="29"/>
      <c r="AW863" s="29"/>
      <c r="AX863" s="29"/>
      <c r="AY863" s="29"/>
      <c r="AZ863" s="29"/>
      <c r="BA863" s="29"/>
      <c r="BB863" s="29"/>
      <c r="BC863" s="29"/>
      <c r="BD863" s="29"/>
      <c r="BE863" s="29"/>
      <c r="BF863" s="29"/>
      <c r="BG863" s="29"/>
      <c r="BH863" s="29"/>
      <c r="BI863" s="36"/>
      <c r="BJ863" s="36"/>
      <c r="BK863" s="36"/>
      <c r="BL863" s="36"/>
      <c r="BM863" s="36"/>
      <c r="BN863" s="29"/>
      <c r="BO863" s="29"/>
      <c r="BP863" s="29"/>
      <c r="BQ863" s="29"/>
      <c r="BR863" s="29"/>
      <c r="BS863" s="29"/>
      <c r="BT863" s="29"/>
      <c r="BU863" s="29"/>
      <c r="BV863" s="29"/>
      <c r="BW863" s="29"/>
      <c r="BX863" s="29"/>
      <c r="BY863" s="29"/>
    </row>
    <row r="864" spans="46:77" x14ac:dyDescent="0.25">
      <c r="AT864" s="29"/>
      <c r="AU864" s="29"/>
      <c r="AV864" s="29"/>
      <c r="AW864" s="29"/>
      <c r="AX864" s="29"/>
      <c r="AY864" s="29"/>
      <c r="AZ864" s="29"/>
      <c r="BA864" s="29"/>
      <c r="BB864" s="29"/>
      <c r="BC864" s="29"/>
      <c r="BD864" s="29"/>
      <c r="BE864" s="29"/>
      <c r="BF864" s="29"/>
      <c r="BG864" s="29"/>
      <c r="BH864" s="29"/>
      <c r="BI864" s="36"/>
      <c r="BJ864" s="36"/>
      <c r="BK864" s="36"/>
      <c r="BL864" s="36"/>
      <c r="BM864" s="36"/>
      <c r="BN864" s="29"/>
      <c r="BO864" s="29"/>
      <c r="BP864" s="29"/>
      <c r="BQ864" s="29"/>
      <c r="BR864" s="29"/>
      <c r="BS864" s="29"/>
      <c r="BT864" s="29"/>
      <c r="BU864" s="29"/>
      <c r="BV864" s="29"/>
      <c r="BW864" s="29"/>
      <c r="BX864" s="29"/>
      <c r="BY864" s="29"/>
    </row>
    <row r="865" spans="46:77" x14ac:dyDescent="0.25">
      <c r="AT865" s="29"/>
      <c r="AU865" s="29"/>
      <c r="AV865" s="29"/>
      <c r="AW865" s="29"/>
      <c r="AX865" s="29"/>
      <c r="AY865" s="29"/>
      <c r="AZ865" s="29"/>
      <c r="BA865" s="29"/>
      <c r="BB865" s="29"/>
      <c r="BC865" s="29"/>
      <c r="BD865" s="29"/>
      <c r="BE865" s="29"/>
      <c r="BF865" s="29"/>
      <c r="BG865" s="29"/>
      <c r="BH865" s="29"/>
      <c r="BI865" s="36"/>
      <c r="BJ865" s="36"/>
      <c r="BK865" s="36"/>
      <c r="BL865" s="36"/>
      <c r="BM865" s="36"/>
      <c r="BN865" s="29"/>
      <c r="BO865" s="29"/>
      <c r="BP865" s="29"/>
      <c r="BQ865" s="29"/>
      <c r="BR865" s="29"/>
      <c r="BS865" s="29"/>
      <c r="BT865" s="29"/>
      <c r="BU865" s="29"/>
      <c r="BV865" s="29"/>
      <c r="BW865" s="29"/>
      <c r="BX865" s="29"/>
      <c r="BY865" s="29"/>
    </row>
    <row r="866" spans="46:77" x14ac:dyDescent="0.25">
      <c r="AT866" s="29"/>
      <c r="AU866" s="29"/>
      <c r="AV866" s="29"/>
      <c r="AW866" s="29"/>
      <c r="AX866" s="29"/>
      <c r="AY866" s="29"/>
      <c r="AZ866" s="29"/>
      <c r="BA866" s="29"/>
      <c r="BB866" s="29"/>
      <c r="BC866" s="29"/>
      <c r="BD866" s="29"/>
      <c r="BE866" s="29"/>
      <c r="BF866" s="29"/>
      <c r="BG866" s="29"/>
      <c r="BH866" s="29"/>
      <c r="BI866" s="36"/>
      <c r="BJ866" s="36"/>
      <c r="BK866" s="36"/>
      <c r="BL866" s="36"/>
      <c r="BM866" s="36"/>
      <c r="BN866" s="29"/>
      <c r="BO866" s="29"/>
      <c r="BP866" s="29"/>
      <c r="BQ866" s="29"/>
      <c r="BR866" s="29"/>
      <c r="BS866" s="29"/>
      <c r="BT866" s="29"/>
      <c r="BU866" s="29"/>
      <c r="BV866" s="29"/>
      <c r="BW866" s="29"/>
      <c r="BX866" s="29"/>
      <c r="BY866" s="29"/>
    </row>
    <row r="867" spans="46:77" x14ac:dyDescent="0.25">
      <c r="AT867" s="29"/>
      <c r="AU867" s="29"/>
      <c r="AV867" s="29"/>
      <c r="AW867" s="29"/>
      <c r="AX867" s="29"/>
      <c r="AY867" s="29"/>
      <c r="AZ867" s="29"/>
      <c r="BA867" s="29"/>
      <c r="BB867" s="29"/>
      <c r="BC867" s="29"/>
      <c r="BD867" s="29"/>
      <c r="BE867" s="29"/>
      <c r="BF867" s="29"/>
      <c r="BG867" s="29"/>
      <c r="BH867" s="29"/>
      <c r="BI867" s="36"/>
      <c r="BJ867" s="36"/>
      <c r="BK867" s="36"/>
      <c r="BL867" s="36"/>
      <c r="BM867" s="36"/>
      <c r="BN867" s="29"/>
      <c r="BO867" s="29"/>
      <c r="BP867" s="29"/>
      <c r="BQ867" s="29"/>
      <c r="BR867" s="29"/>
      <c r="BS867" s="29"/>
      <c r="BT867" s="29"/>
      <c r="BU867" s="29"/>
      <c r="BV867" s="29"/>
      <c r="BW867" s="29"/>
      <c r="BX867" s="29"/>
      <c r="BY867" s="29"/>
    </row>
    <row r="868" spans="46:77" x14ac:dyDescent="0.25">
      <c r="AT868" s="29"/>
      <c r="AU868" s="29"/>
      <c r="AV868" s="29"/>
      <c r="AW868" s="29"/>
      <c r="AX868" s="29"/>
      <c r="AY868" s="29"/>
      <c r="AZ868" s="29"/>
      <c r="BA868" s="29"/>
      <c r="BB868" s="29"/>
      <c r="BC868" s="29"/>
      <c r="BD868" s="29"/>
      <c r="BE868" s="29"/>
      <c r="BF868" s="29"/>
      <c r="BG868" s="29"/>
      <c r="BH868" s="29"/>
      <c r="BI868" s="36"/>
      <c r="BJ868" s="36"/>
      <c r="BK868" s="36"/>
      <c r="BL868" s="36"/>
      <c r="BM868" s="36"/>
      <c r="BN868" s="29"/>
      <c r="BO868" s="29"/>
      <c r="BP868" s="29"/>
      <c r="BQ868" s="29"/>
      <c r="BR868" s="29"/>
      <c r="BS868" s="29"/>
      <c r="BT868" s="29"/>
      <c r="BU868" s="29"/>
      <c r="BV868" s="29"/>
      <c r="BW868" s="29"/>
      <c r="BX868" s="29"/>
      <c r="BY868" s="29"/>
    </row>
    <row r="869" spans="46:77" x14ac:dyDescent="0.25">
      <c r="AT869" s="29"/>
      <c r="AU869" s="29"/>
      <c r="AV869" s="29"/>
      <c r="AW869" s="29"/>
      <c r="AX869" s="29"/>
      <c r="AY869" s="29"/>
      <c r="AZ869" s="29"/>
      <c r="BA869" s="29"/>
      <c r="BB869" s="29"/>
      <c r="BC869" s="29"/>
      <c r="BD869" s="29"/>
      <c r="BE869" s="29"/>
      <c r="BF869" s="29"/>
      <c r="BG869" s="29"/>
      <c r="BH869" s="29"/>
      <c r="BI869" s="36"/>
      <c r="BJ869" s="36"/>
      <c r="BK869" s="36"/>
      <c r="BL869" s="36"/>
      <c r="BM869" s="36"/>
      <c r="BN869" s="29"/>
      <c r="BO869" s="29"/>
      <c r="BP869" s="29"/>
      <c r="BQ869" s="29"/>
      <c r="BR869" s="29"/>
      <c r="BS869" s="29"/>
      <c r="BT869" s="29"/>
      <c r="BU869" s="29"/>
      <c r="BV869" s="29"/>
      <c r="BW869" s="29"/>
      <c r="BX869" s="29"/>
      <c r="BY869" s="29"/>
    </row>
    <row r="870" spans="46:77" x14ac:dyDescent="0.25">
      <c r="AT870" s="29"/>
      <c r="AU870" s="29"/>
      <c r="AV870" s="29"/>
      <c r="AW870" s="29"/>
      <c r="AX870" s="29"/>
      <c r="AY870" s="29"/>
      <c r="AZ870" s="29"/>
      <c r="BA870" s="29"/>
      <c r="BB870" s="29"/>
      <c r="BC870" s="29"/>
      <c r="BD870" s="29"/>
      <c r="BE870" s="29"/>
      <c r="BF870" s="29"/>
      <c r="BG870" s="29"/>
      <c r="BH870" s="29"/>
      <c r="BI870" s="36"/>
      <c r="BJ870" s="36"/>
      <c r="BK870" s="36"/>
      <c r="BL870" s="36"/>
      <c r="BM870" s="36"/>
      <c r="BN870" s="29"/>
      <c r="BO870" s="29"/>
      <c r="BP870" s="29"/>
      <c r="BQ870" s="29"/>
      <c r="BR870" s="29"/>
      <c r="BS870" s="29"/>
      <c r="BT870" s="29"/>
      <c r="BU870" s="29"/>
      <c r="BV870" s="29"/>
      <c r="BW870" s="29"/>
      <c r="BX870" s="29"/>
      <c r="BY870" s="29"/>
    </row>
    <row r="871" spans="46:77" x14ac:dyDescent="0.25">
      <c r="AT871" s="29"/>
      <c r="AU871" s="29"/>
      <c r="AV871" s="29"/>
      <c r="AW871" s="29"/>
      <c r="AX871" s="29"/>
      <c r="AY871" s="29"/>
      <c r="AZ871" s="29"/>
      <c r="BA871" s="29"/>
      <c r="BB871" s="29"/>
      <c r="BC871" s="29"/>
      <c r="BD871" s="29"/>
      <c r="BE871" s="29"/>
      <c r="BF871" s="29"/>
      <c r="BG871" s="29"/>
      <c r="BH871" s="29"/>
      <c r="BI871" s="36"/>
      <c r="BJ871" s="36"/>
      <c r="BK871" s="36"/>
      <c r="BL871" s="36"/>
      <c r="BM871" s="36"/>
      <c r="BN871" s="29"/>
      <c r="BO871" s="29"/>
      <c r="BP871" s="29"/>
      <c r="BQ871" s="29"/>
      <c r="BR871" s="29"/>
      <c r="BS871" s="29"/>
      <c r="BT871" s="29"/>
      <c r="BU871" s="29"/>
      <c r="BV871" s="29"/>
      <c r="BW871" s="29"/>
      <c r="BX871" s="29"/>
      <c r="BY871" s="29"/>
    </row>
    <row r="872" spans="46:77" x14ac:dyDescent="0.25">
      <c r="AT872" s="29"/>
      <c r="AU872" s="29"/>
      <c r="AV872" s="29"/>
      <c r="AW872" s="29"/>
      <c r="AX872" s="29"/>
      <c r="AY872" s="29"/>
      <c r="AZ872" s="29"/>
      <c r="BA872" s="29"/>
      <c r="BB872" s="29"/>
      <c r="BC872" s="29"/>
      <c r="BD872" s="29"/>
      <c r="BE872" s="29"/>
      <c r="BF872" s="29"/>
      <c r="BG872" s="29"/>
      <c r="BH872" s="29"/>
      <c r="BI872" s="36"/>
      <c r="BJ872" s="36"/>
      <c r="BK872" s="36"/>
      <c r="BL872" s="36"/>
      <c r="BM872" s="36"/>
      <c r="BN872" s="29"/>
      <c r="BO872" s="29"/>
      <c r="BP872" s="29"/>
      <c r="BQ872" s="29"/>
      <c r="BR872" s="29"/>
      <c r="BS872" s="29"/>
      <c r="BT872" s="29"/>
      <c r="BU872" s="29"/>
      <c r="BV872" s="29"/>
      <c r="BW872" s="29"/>
      <c r="BX872" s="29"/>
      <c r="BY872" s="29"/>
    </row>
    <row r="873" spans="46:77" x14ac:dyDescent="0.25">
      <c r="AT873" s="29"/>
      <c r="AU873" s="29"/>
      <c r="AV873" s="29"/>
      <c r="AW873" s="29"/>
      <c r="AX873" s="29"/>
      <c r="AY873" s="29"/>
      <c r="AZ873" s="29"/>
      <c r="BA873" s="29"/>
      <c r="BB873" s="29"/>
      <c r="BC873" s="29"/>
      <c r="BD873" s="29"/>
      <c r="BE873" s="29"/>
      <c r="BF873" s="29"/>
      <c r="BG873" s="29"/>
      <c r="BH873" s="29"/>
      <c r="BI873" s="36"/>
      <c r="BJ873" s="36"/>
      <c r="BK873" s="36"/>
      <c r="BL873" s="36"/>
      <c r="BM873" s="36"/>
      <c r="BN873" s="29"/>
      <c r="BO873" s="29"/>
      <c r="BP873" s="29"/>
      <c r="BQ873" s="29"/>
      <c r="BR873" s="29"/>
      <c r="BS873" s="29"/>
      <c r="BT873" s="29"/>
      <c r="BU873" s="29"/>
      <c r="BV873" s="29"/>
      <c r="BW873" s="29"/>
      <c r="BX873" s="29"/>
      <c r="BY873" s="29"/>
    </row>
    <row r="874" spans="46:77" x14ac:dyDescent="0.25">
      <c r="AT874" s="29"/>
      <c r="AU874" s="29"/>
      <c r="AV874" s="29"/>
      <c r="AW874" s="29"/>
      <c r="AX874" s="29"/>
      <c r="AY874" s="29"/>
      <c r="AZ874" s="29"/>
      <c r="BA874" s="29"/>
      <c r="BB874" s="29"/>
      <c r="BC874" s="29"/>
      <c r="BD874" s="29"/>
      <c r="BE874" s="29"/>
      <c r="BF874" s="29"/>
      <c r="BG874" s="29"/>
      <c r="BH874" s="29"/>
      <c r="BI874" s="36"/>
      <c r="BJ874" s="36"/>
      <c r="BK874" s="36"/>
      <c r="BL874" s="36"/>
      <c r="BM874" s="36"/>
      <c r="BN874" s="29"/>
      <c r="BO874" s="29"/>
      <c r="BP874" s="29"/>
      <c r="BQ874" s="29"/>
      <c r="BR874" s="29"/>
      <c r="BS874" s="29"/>
      <c r="BT874" s="29"/>
      <c r="BU874" s="29"/>
      <c r="BV874" s="29"/>
      <c r="BW874" s="29"/>
      <c r="BX874" s="29"/>
      <c r="BY874" s="29"/>
    </row>
    <row r="875" spans="46:77" x14ac:dyDescent="0.25">
      <c r="AT875" s="29"/>
      <c r="AU875" s="29"/>
      <c r="AV875" s="29"/>
      <c r="AW875" s="29"/>
      <c r="AX875" s="29"/>
      <c r="AY875" s="29"/>
      <c r="AZ875" s="29"/>
      <c r="BA875" s="29"/>
      <c r="BB875" s="29"/>
      <c r="BC875" s="29"/>
      <c r="BD875" s="29"/>
      <c r="BE875" s="29"/>
      <c r="BF875" s="29"/>
      <c r="BG875" s="29"/>
      <c r="BH875" s="29"/>
      <c r="BI875" s="36"/>
      <c r="BJ875" s="36"/>
      <c r="BK875" s="36"/>
      <c r="BL875" s="36"/>
      <c r="BM875" s="36"/>
      <c r="BN875" s="29"/>
      <c r="BO875" s="29"/>
      <c r="BP875" s="29"/>
      <c r="BQ875" s="29"/>
      <c r="BR875" s="29"/>
      <c r="BS875" s="29"/>
      <c r="BT875" s="29"/>
      <c r="BU875" s="29"/>
      <c r="BV875" s="29"/>
      <c r="BW875" s="29"/>
      <c r="BX875" s="29"/>
      <c r="BY875" s="29"/>
    </row>
    <row r="876" spans="46:77" x14ac:dyDescent="0.25">
      <c r="AT876" s="29"/>
      <c r="AU876" s="29"/>
      <c r="AV876" s="29"/>
      <c r="AW876" s="29"/>
      <c r="AX876" s="29"/>
      <c r="AY876" s="29"/>
      <c r="AZ876" s="29"/>
      <c r="BA876" s="29"/>
      <c r="BB876" s="29"/>
      <c r="BC876" s="29"/>
      <c r="BD876" s="29"/>
      <c r="BE876" s="29"/>
      <c r="BF876" s="29"/>
      <c r="BG876" s="29"/>
      <c r="BH876" s="29"/>
      <c r="BI876" s="36"/>
      <c r="BJ876" s="36"/>
      <c r="BK876" s="36"/>
      <c r="BL876" s="36"/>
      <c r="BM876" s="36"/>
      <c r="BN876" s="29"/>
      <c r="BO876" s="29"/>
      <c r="BP876" s="29"/>
      <c r="BQ876" s="29"/>
      <c r="BR876" s="29"/>
      <c r="BS876" s="29"/>
      <c r="BT876" s="29"/>
      <c r="BU876" s="29"/>
      <c r="BV876" s="29"/>
      <c r="BW876" s="29"/>
      <c r="BX876" s="29"/>
      <c r="BY876" s="29"/>
    </row>
    <row r="877" spans="46:77" x14ac:dyDescent="0.25">
      <c r="AT877" s="29"/>
      <c r="AU877" s="29"/>
      <c r="AV877" s="29"/>
      <c r="AW877" s="29"/>
      <c r="AX877" s="29"/>
      <c r="AY877" s="29"/>
      <c r="AZ877" s="29"/>
      <c r="BA877" s="29"/>
      <c r="BB877" s="29"/>
      <c r="BC877" s="29"/>
      <c r="BD877" s="29"/>
      <c r="BE877" s="29"/>
      <c r="BF877" s="29"/>
      <c r="BG877" s="29"/>
      <c r="BH877" s="29"/>
      <c r="BI877" s="36"/>
      <c r="BJ877" s="36"/>
      <c r="BK877" s="36"/>
      <c r="BL877" s="36"/>
      <c r="BM877" s="36"/>
      <c r="BN877" s="29"/>
      <c r="BO877" s="29"/>
      <c r="BP877" s="29"/>
      <c r="BQ877" s="29"/>
      <c r="BR877" s="29"/>
      <c r="BS877" s="29"/>
      <c r="BT877" s="29"/>
      <c r="BU877" s="29"/>
      <c r="BV877" s="29"/>
      <c r="BW877" s="29"/>
      <c r="BX877" s="29"/>
      <c r="BY877" s="29"/>
    </row>
    <row r="878" spans="46:77" x14ac:dyDescent="0.25">
      <c r="AT878" s="29"/>
      <c r="AU878" s="29"/>
      <c r="AV878" s="29"/>
      <c r="AW878" s="29"/>
      <c r="AX878" s="29"/>
      <c r="AY878" s="29"/>
      <c r="AZ878" s="29"/>
      <c r="BA878" s="29"/>
      <c r="BB878" s="29"/>
      <c r="BC878" s="29"/>
      <c r="BD878" s="29"/>
      <c r="BE878" s="29"/>
      <c r="BF878" s="29"/>
      <c r="BG878" s="29"/>
      <c r="BH878" s="29"/>
      <c r="BI878" s="36"/>
      <c r="BJ878" s="36"/>
      <c r="BK878" s="36"/>
      <c r="BL878" s="36"/>
      <c r="BM878" s="36"/>
      <c r="BN878" s="29"/>
      <c r="BO878" s="29"/>
      <c r="BP878" s="29"/>
      <c r="BQ878" s="29"/>
      <c r="BR878" s="29"/>
      <c r="BS878" s="29"/>
      <c r="BT878" s="29"/>
      <c r="BU878" s="29"/>
      <c r="BV878" s="29"/>
      <c r="BW878" s="29"/>
      <c r="BX878" s="29"/>
      <c r="BY878" s="29"/>
    </row>
    <row r="879" spans="46:77" x14ac:dyDescent="0.25">
      <c r="AT879" s="29"/>
      <c r="AU879" s="29"/>
      <c r="AV879" s="29"/>
      <c r="AW879" s="29"/>
      <c r="AX879" s="29"/>
      <c r="AY879" s="29"/>
      <c r="AZ879" s="29"/>
      <c r="BA879" s="29"/>
      <c r="BB879" s="29"/>
      <c r="BC879" s="29"/>
      <c r="BD879" s="29"/>
      <c r="BE879" s="29"/>
      <c r="BF879" s="29"/>
      <c r="BG879" s="29"/>
      <c r="BH879" s="29"/>
      <c r="BI879" s="36"/>
      <c r="BJ879" s="36"/>
      <c r="BK879" s="36"/>
      <c r="BL879" s="36"/>
      <c r="BM879" s="36"/>
      <c r="BN879" s="29"/>
      <c r="BO879" s="29"/>
      <c r="BP879" s="29"/>
      <c r="BQ879" s="29"/>
      <c r="BR879" s="29"/>
      <c r="BS879" s="29"/>
      <c r="BT879" s="29"/>
      <c r="BU879" s="29"/>
      <c r="BV879" s="29"/>
      <c r="BW879" s="29"/>
      <c r="BX879" s="29"/>
      <c r="BY879" s="29"/>
    </row>
    <row r="880" spans="46:77" x14ac:dyDescent="0.25">
      <c r="AT880" s="29"/>
      <c r="AU880" s="29"/>
      <c r="AV880" s="29"/>
      <c r="AW880" s="29"/>
      <c r="AX880" s="29"/>
      <c r="AY880" s="29"/>
      <c r="AZ880" s="29"/>
      <c r="BA880" s="29"/>
      <c r="BB880" s="29"/>
      <c r="BC880" s="29"/>
      <c r="BD880" s="29"/>
      <c r="BE880" s="29"/>
      <c r="BF880" s="29"/>
      <c r="BG880" s="29"/>
      <c r="BH880" s="29"/>
      <c r="BI880" s="36"/>
      <c r="BJ880" s="36"/>
      <c r="BK880" s="36"/>
      <c r="BL880" s="36"/>
      <c r="BM880" s="36"/>
      <c r="BN880" s="29"/>
      <c r="BO880" s="29"/>
      <c r="BP880" s="29"/>
      <c r="BQ880" s="29"/>
      <c r="BR880" s="29"/>
      <c r="BS880" s="29"/>
      <c r="BT880" s="29"/>
      <c r="BU880" s="29"/>
      <c r="BV880" s="29"/>
      <c r="BW880" s="29"/>
      <c r="BX880" s="29"/>
      <c r="BY880" s="29"/>
    </row>
    <row r="881" spans="46:77" x14ac:dyDescent="0.25">
      <c r="AT881" s="29"/>
      <c r="AU881" s="29"/>
      <c r="AV881" s="29"/>
      <c r="AW881" s="29"/>
      <c r="AX881" s="29"/>
      <c r="AY881" s="29"/>
      <c r="AZ881" s="29"/>
      <c r="BA881" s="29"/>
      <c r="BB881" s="29"/>
      <c r="BC881" s="29"/>
      <c r="BD881" s="29"/>
      <c r="BE881" s="29"/>
      <c r="BF881" s="29"/>
      <c r="BG881" s="29"/>
      <c r="BH881" s="29"/>
      <c r="BI881" s="36"/>
      <c r="BJ881" s="36"/>
      <c r="BK881" s="36"/>
      <c r="BL881" s="36"/>
      <c r="BM881" s="36"/>
      <c r="BN881" s="29"/>
      <c r="BO881" s="29"/>
      <c r="BP881" s="29"/>
      <c r="BQ881" s="29"/>
      <c r="BR881" s="29"/>
      <c r="BS881" s="29"/>
      <c r="BT881" s="29"/>
      <c r="BU881" s="29"/>
      <c r="BV881" s="29"/>
      <c r="BW881" s="29"/>
      <c r="BX881" s="29"/>
      <c r="BY881" s="29"/>
    </row>
    <row r="882" spans="46:77" x14ac:dyDescent="0.25">
      <c r="AT882" s="29"/>
      <c r="AU882" s="29"/>
      <c r="AV882" s="29"/>
      <c r="AW882" s="29"/>
      <c r="AX882" s="29"/>
      <c r="AY882" s="29"/>
      <c r="AZ882" s="29"/>
      <c r="BA882" s="29"/>
      <c r="BB882" s="29"/>
      <c r="BC882" s="29"/>
      <c r="BD882" s="29"/>
      <c r="BE882" s="29"/>
      <c r="BF882" s="29"/>
      <c r="BG882" s="29"/>
      <c r="BH882" s="29"/>
      <c r="BI882" s="36"/>
      <c r="BJ882" s="36"/>
      <c r="BK882" s="36"/>
      <c r="BL882" s="36"/>
      <c r="BM882" s="36"/>
      <c r="BN882" s="29"/>
      <c r="BO882" s="29"/>
      <c r="BP882" s="29"/>
      <c r="BQ882" s="29"/>
      <c r="BR882" s="29"/>
      <c r="BS882" s="29"/>
      <c r="BT882" s="29"/>
      <c r="BU882" s="29"/>
      <c r="BV882" s="29"/>
      <c r="BW882" s="29"/>
      <c r="BX882" s="29"/>
      <c r="BY882" s="29"/>
    </row>
    <row r="883" spans="46:77" x14ac:dyDescent="0.25">
      <c r="AT883" s="29"/>
      <c r="AU883" s="29"/>
      <c r="AV883" s="29"/>
      <c r="AW883" s="29"/>
      <c r="AX883" s="29"/>
      <c r="AY883" s="29"/>
      <c r="AZ883" s="29"/>
      <c r="BA883" s="29"/>
      <c r="BB883" s="29"/>
      <c r="BC883" s="29"/>
      <c r="BD883" s="29"/>
      <c r="BE883" s="29"/>
      <c r="BF883" s="29"/>
      <c r="BG883" s="29"/>
      <c r="BH883" s="29"/>
      <c r="BI883" s="36"/>
      <c r="BJ883" s="36"/>
      <c r="BK883" s="36"/>
      <c r="BL883" s="36"/>
      <c r="BM883" s="36"/>
      <c r="BN883" s="29"/>
      <c r="BO883" s="29"/>
      <c r="BP883" s="29"/>
      <c r="BQ883" s="29"/>
      <c r="BR883" s="29"/>
      <c r="BS883" s="29"/>
      <c r="BT883" s="29"/>
      <c r="BU883" s="29"/>
      <c r="BV883" s="29"/>
      <c r="BW883" s="29"/>
      <c r="BX883" s="29"/>
      <c r="BY883" s="29"/>
    </row>
    <row r="884" spans="46:77" x14ac:dyDescent="0.25">
      <c r="AT884" s="29"/>
      <c r="AU884" s="29"/>
      <c r="AV884" s="29"/>
      <c r="AW884" s="29"/>
      <c r="AX884" s="29"/>
      <c r="AY884" s="29"/>
      <c r="AZ884" s="29"/>
      <c r="BA884" s="29"/>
      <c r="BB884" s="29"/>
      <c r="BC884" s="29"/>
      <c r="BD884" s="29"/>
      <c r="BE884" s="29"/>
      <c r="BF884" s="29"/>
      <c r="BG884" s="29"/>
      <c r="BH884" s="29"/>
      <c r="BI884" s="36"/>
      <c r="BJ884" s="36"/>
      <c r="BK884" s="36"/>
      <c r="BL884" s="36"/>
      <c r="BM884" s="36"/>
      <c r="BN884" s="29"/>
      <c r="BO884" s="29"/>
      <c r="BP884" s="29"/>
      <c r="BQ884" s="29"/>
      <c r="BR884" s="29"/>
      <c r="BS884" s="29"/>
      <c r="BT884" s="29"/>
      <c r="BU884" s="29"/>
      <c r="BV884" s="29"/>
      <c r="BW884" s="29"/>
      <c r="BX884" s="29"/>
      <c r="BY884" s="29"/>
    </row>
    <row r="885" spans="46:77" x14ac:dyDescent="0.25">
      <c r="AT885" s="29"/>
      <c r="AU885" s="29"/>
      <c r="AV885" s="29"/>
      <c r="AW885" s="29"/>
      <c r="AX885" s="29"/>
      <c r="AY885" s="29"/>
      <c r="AZ885" s="29"/>
      <c r="BA885" s="29"/>
      <c r="BB885" s="29"/>
      <c r="BC885" s="29"/>
      <c r="BD885" s="29"/>
      <c r="BE885" s="29"/>
      <c r="BF885" s="29"/>
      <c r="BG885" s="29"/>
      <c r="BH885" s="29"/>
      <c r="BI885" s="36"/>
      <c r="BJ885" s="36"/>
      <c r="BK885" s="36"/>
      <c r="BL885" s="36"/>
      <c r="BM885" s="36"/>
      <c r="BN885" s="29"/>
      <c r="BO885" s="29"/>
      <c r="BP885" s="29"/>
      <c r="BQ885" s="29"/>
      <c r="BR885" s="29"/>
      <c r="BS885" s="29"/>
      <c r="BT885" s="29"/>
      <c r="BU885" s="29"/>
      <c r="BV885" s="29"/>
      <c r="BW885" s="29"/>
      <c r="BX885" s="29"/>
      <c r="BY885" s="29"/>
    </row>
    <row r="886" spans="46:77" x14ac:dyDescent="0.25">
      <c r="AT886" s="29"/>
      <c r="AU886" s="29"/>
      <c r="AV886" s="29"/>
      <c r="AW886" s="29"/>
      <c r="AX886" s="29"/>
      <c r="AY886" s="29"/>
      <c r="AZ886" s="29"/>
      <c r="BA886" s="29"/>
      <c r="BB886" s="29"/>
      <c r="BC886" s="29"/>
      <c r="BD886" s="29"/>
      <c r="BE886" s="29"/>
      <c r="BF886" s="29"/>
      <c r="BG886" s="29"/>
      <c r="BH886" s="29"/>
      <c r="BI886" s="36"/>
      <c r="BJ886" s="36"/>
      <c r="BK886" s="36"/>
      <c r="BL886" s="36"/>
      <c r="BM886" s="36"/>
      <c r="BN886" s="29"/>
      <c r="BO886" s="29"/>
      <c r="BP886" s="29"/>
      <c r="BQ886" s="29"/>
      <c r="BR886" s="29"/>
      <c r="BS886" s="29"/>
      <c r="BT886" s="29"/>
      <c r="BU886" s="29"/>
      <c r="BV886" s="29"/>
      <c r="BW886" s="29"/>
      <c r="BX886" s="29"/>
      <c r="BY886" s="29"/>
    </row>
    <row r="887" spans="46:77" x14ac:dyDescent="0.25">
      <c r="AT887" s="29"/>
      <c r="AU887" s="29"/>
      <c r="AV887" s="29"/>
      <c r="AW887" s="29"/>
      <c r="AX887" s="29"/>
      <c r="AY887" s="29"/>
      <c r="AZ887" s="29"/>
      <c r="BA887" s="29"/>
      <c r="BB887" s="29"/>
      <c r="BC887" s="29"/>
      <c r="BD887" s="29"/>
      <c r="BE887" s="29"/>
      <c r="BF887" s="29"/>
      <c r="BG887" s="29"/>
      <c r="BH887" s="29"/>
      <c r="BI887" s="36"/>
      <c r="BJ887" s="36"/>
      <c r="BK887" s="36"/>
      <c r="BL887" s="36"/>
      <c r="BM887" s="36"/>
      <c r="BN887" s="29"/>
      <c r="BO887" s="29"/>
      <c r="BP887" s="29"/>
      <c r="BQ887" s="29"/>
      <c r="BR887" s="29"/>
      <c r="BS887" s="29"/>
      <c r="BT887" s="29"/>
      <c r="BU887" s="29"/>
      <c r="BV887" s="29"/>
      <c r="BW887" s="29"/>
      <c r="BX887" s="29"/>
      <c r="BY887" s="29"/>
    </row>
    <row r="888" spans="46:77" x14ac:dyDescent="0.25">
      <c r="AT888" s="29"/>
      <c r="AU888" s="29"/>
      <c r="AV888" s="29"/>
      <c r="AW888" s="29"/>
      <c r="AX888" s="29"/>
      <c r="AY888" s="29"/>
      <c r="AZ888" s="29"/>
      <c r="BA888" s="29"/>
      <c r="BB888" s="29"/>
      <c r="BC888" s="29"/>
      <c r="BD888" s="29"/>
      <c r="BE888" s="29"/>
      <c r="BF888" s="29"/>
      <c r="BG888" s="29"/>
      <c r="BH888" s="29"/>
      <c r="BI888" s="36"/>
      <c r="BJ888" s="36"/>
      <c r="BK888" s="36"/>
      <c r="BL888" s="36"/>
      <c r="BM888" s="36"/>
      <c r="BN888" s="29"/>
      <c r="BO888" s="29"/>
      <c r="BP888" s="29"/>
      <c r="BQ888" s="29"/>
      <c r="BR888" s="29"/>
      <c r="BS888" s="29"/>
      <c r="BT888" s="29"/>
      <c r="BU888" s="29"/>
      <c r="BV888" s="29"/>
      <c r="BW888" s="29"/>
      <c r="BX888" s="29"/>
      <c r="BY888" s="29"/>
    </row>
    <row r="889" spans="46:77" x14ac:dyDescent="0.25">
      <c r="AT889" s="29"/>
      <c r="AU889" s="29"/>
      <c r="AV889" s="29"/>
      <c r="AW889" s="29"/>
      <c r="AX889" s="29"/>
      <c r="AY889" s="29"/>
      <c r="AZ889" s="29"/>
      <c r="BA889" s="29"/>
      <c r="BB889" s="29"/>
      <c r="BC889" s="29"/>
      <c r="BD889" s="29"/>
      <c r="BE889" s="29"/>
      <c r="BF889" s="29"/>
      <c r="BG889" s="29"/>
      <c r="BH889" s="29"/>
      <c r="BI889" s="36"/>
      <c r="BJ889" s="36"/>
      <c r="BK889" s="36"/>
      <c r="BL889" s="36"/>
      <c r="BM889" s="36"/>
      <c r="BN889" s="29"/>
      <c r="BO889" s="29"/>
      <c r="BP889" s="29"/>
      <c r="BQ889" s="29"/>
      <c r="BR889" s="29"/>
      <c r="BS889" s="29"/>
      <c r="BT889" s="29"/>
      <c r="BU889" s="29"/>
      <c r="BV889" s="29"/>
      <c r="BW889" s="29"/>
      <c r="BX889" s="29"/>
      <c r="BY889" s="29"/>
    </row>
    <row r="890" spans="46:77" x14ac:dyDescent="0.25">
      <c r="AT890" s="29"/>
      <c r="AU890" s="29"/>
      <c r="AV890" s="29"/>
      <c r="AW890" s="29"/>
      <c r="AX890" s="29"/>
      <c r="AY890" s="29"/>
      <c r="AZ890" s="29"/>
      <c r="BA890" s="29"/>
      <c r="BB890" s="29"/>
      <c r="BC890" s="29"/>
      <c r="BD890" s="29"/>
      <c r="BE890" s="29"/>
      <c r="BF890" s="29"/>
      <c r="BG890" s="29"/>
      <c r="BH890" s="29"/>
      <c r="BI890" s="36"/>
      <c r="BJ890" s="36"/>
      <c r="BK890" s="36"/>
      <c r="BL890" s="36"/>
      <c r="BM890" s="36"/>
      <c r="BN890" s="29"/>
      <c r="BO890" s="29"/>
      <c r="BP890" s="29"/>
      <c r="BQ890" s="29"/>
      <c r="BR890" s="29"/>
      <c r="BS890" s="29"/>
      <c r="BT890" s="29"/>
      <c r="BU890" s="29"/>
      <c r="BV890" s="29"/>
      <c r="BW890" s="29"/>
      <c r="BX890" s="29"/>
      <c r="BY890" s="29"/>
    </row>
    <row r="891" spans="46:77" x14ac:dyDescent="0.25">
      <c r="AT891" s="29"/>
      <c r="AU891" s="29"/>
      <c r="AV891" s="29"/>
      <c r="AW891" s="29"/>
      <c r="AX891" s="29"/>
      <c r="AY891" s="29"/>
      <c r="AZ891" s="29"/>
      <c r="BA891" s="29"/>
      <c r="BB891" s="29"/>
      <c r="BC891" s="29"/>
      <c r="BD891" s="29"/>
      <c r="BE891" s="29"/>
      <c r="BF891" s="29"/>
      <c r="BG891" s="29"/>
      <c r="BH891" s="29"/>
      <c r="BI891" s="36"/>
      <c r="BJ891" s="36"/>
      <c r="BK891" s="36"/>
      <c r="BL891" s="36"/>
      <c r="BM891" s="36"/>
      <c r="BN891" s="29"/>
      <c r="BO891" s="29"/>
      <c r="BP891" s="29"/>
      <c r="BQ891" s="29"/>
      <c r="BR891" s="29"/>
      <c r="BS891" s="29"/>
      <c r="BT891" s="29"/>
      <c r="BU891" s="29"/>
      <c r="BV891" s="29"/>
      <c r="BW891" s="29"/>
      <c r="BX891" s="29"/>
      <c r="BY891" s="29"/>
    </row>
    <row r="892" spans="46:77" x14ac:dyDescent="0.25">
      <c r="AT892" s="29"/>
      <c r="AU892" s="29"/>
      <c r="AV892" s="29"/>
      <c r="AW892" s="29"/>
      <c r="AX892" s="29"/>
      <c r="AY892" s="29"/>
      <c r="AZ892" s="29"/>
      <c r="BA892" s="29"/>
      <c r="BB892" s="29"/>
      <c r="BC892" s="29"/>
      <c r="BD892" s="29"/>
      <c r="BE892" s="29"/>
      <c r="BF892" s="29"/>
      <c r="BG892" s="29"/>
      <c r="BH892" s="29"/>
      <c r="BI892" s="36"/>
      <c r="BJ892" s="36"/>
      <c r="BK892" s="36"/>
      <c r="BL892" s="36"/>
      <c r="BM892" s="36"/>
      <c r="BN892" s="29"/>
      <c r="BO892" s="29"/>
      <c r="BP892" s="29"/>
      <c r="BQ892" s="29"/>
      <c r="BR892" s="29"/>
      <c r="BS892" s="29"/>
      <c r="BT892" s="29"/>
      <c r="BU892" s="29"/>
      <c r="BV892" s="29"/>
      <c r="BW892" s="29"/>
      <c r="BX892" s="29"/>
      <c r="BY892" s="29"/>
    </row>
    <row r="893" spans="46:77" x14ac:dyDescent="0.25">
      <c r="AT893" s="29"/>
      <c r="AU893" s="29"/>
      <c r="AV893" s="29"/>
      <c r="AW893" s="29"/>
      <c r="AX893" s="29"/>
      <c r="AY893" s="29"/>
      <c r="AZ893" s="29"/>
      <c r="BA893" s="29"/>
      <c r="BB893" s="29"/>
      <c r="BC893" s="29"/>
      <c r="BD893" s="29"/>
      <c r="BE893" s="29"/>
      <c r="BF893" s="29"/>
      <c r="BG893" s="29"/>
      <c r="BH893" s="29"/>
      <c r="BI893" s="36"/>
      <c r="BJ893" s="36"/>
      <c r="BK893" s="36"/>
      <c r="BL893" s="36"/>
      <c r="BM893" s="36"/>
      <c r="BN893" s="29"/>
      <c r="BO893" s="29"/>
      <c r="BP893" s="29"/>
      <c r="BQ893" s="29"/>
      <c r="BR893" s="29"/>
      <c r="BS893" s="29"/>
      <c r="BT893" s="29"/>
      <c r="BU893" s="29"/>
      <c r="BV893" s="29"/>
      <c r="BW893" s="29"/>
      <c r="BX893" s="29"/>
      <c r="BY893" s="29"/>
    </row>
    <row r="894" spans="46:77" x14ac:dyDescent="0.25">
      <c r="AT894" s="29"/>
      <c r="AU894" s="29"/>
      <c r="AV894" s="29"/>
      <c r="AW894" s="29"/>
      <c r="AX894" s="29"/>
      <c r="AY894" s="29"/>
      <c r="AZ894" s="29"/>
      <c r="BA894" s="29"/>
      <c r="BB894" s="29"/>
      <c r="BC894" s="29"/>
      <c r="BD894" s="29"/>
      <c r="BE894" s="29"/>
      <c r="BF894" s="29"/>
      <c r="BG894" s="29"/>
      <c r="BH894" s="29"/>
      <c r="BI894" s="36"/>
      <c r="BJ894" s="36"/>
      <c r="BK894" s="36"/>
      <c r="BL894" s="36"/>
      <c r="BM894" s="36"/>
      <c r="BN894" s="29"/>
      <c r="BO894" s="29"/>
      <c r="BP894" s="29"/>
      <c r="BQ894" s="29"/>
      <c r="BR894" s="29"/>
      <c r="BS894" s="29"/>
      <c r="BT894" s="29"/>
      <c r="BU894" s="29"/>
      <c r="BV894" s="29"/>
      <c r="BW894" s="29"/>
      <c r="BX894" s="29"/>
      <c r="BY894" s="29"/>
    </row>
    <row r="895" spans="46:77" x14ac:dyDescent="0.25">
      <c r="AT895" s="29"/>
      <c r="AU895" s="29"/>
      <c r="AV895" s="29"/>
      <c r="AW895" s="29"/>
      <c r="AX895" s="29"/>
      <c r="AY895" s="29"/>
      <c r="AZ895" s="29"/>
      <c r="BA895" s="29"/>
      <c r="BB895" s="29"/>
      <c r="BC895" s="29"/>
      <c r="BD895" s="29"/>
      <c r="BE895" s="29"/>
      <c r="BF895" s="29"/>
      <c r="BG895" s="29"/>
      <c r="BH895" s="29"/>
      <c r="BI895" s="36"/>
      <c r="BJ895" s="36"/>
      <c r="BK895" s="36"/>
      <c r="BL895" s="36"/>
      <c r="BM895" s="36"/>
      <c r="BN895" s="29"/>
      <c r="BO895" s="29"/>
      <c r="BP895" s="29"/>
      <c r="BQ895" s="29"/>
      <c r="BR895" s="29"/>
      <c r="BS895" s="29"/>
      <c r="BT895" s="29"/>
      <c r="BU895" s="29"/>
      <c r="BV895" s="29"/>
      <c r="BW895" s="29"/>
      <c r="BX895" s="29"/>
      <c r="BY895" s="29"/>
    </row>
    <row r="896" spans="46:77" x14ac:dyDescent="0.25">
      <c r="AT896" s="29"/>
      <c r="AU896" s="29"/>
      <c r="AV896" s="29"/>
      <c r="AW896" s="29"/>
      <c r="AX896" s="29"/>
      <c r="AY896" s="29"/>
      <c r="AZ896" s="29"/>
      <c r="BA896" s="29"/>
      <c r="BB896" s="29"/>
      <c r="BC896" s="29"/>
      <c r="BD896" s="29"/>
      <c r="BE896" s="29"/>
      <c r="BF896" s="29"/>
      <c r="BG896" s="29"/>
      <c r="BH896" s="29"/>
      <c r="BI896" s="36"/>
      <c r="BJ896" s="36"/>
      <c r="BK896" s="36"/>
      <c r="BL896" s="36"/>
      <c r="BM896" s="36"/>
      <c r="BN896" s="29"/>
      <c r="BO896" s="29"/>
      <c r="BP896" s="29"/>
      <c r="BQ896" s="29"/>
      <c r="BR896" s="29"/>
      <c r="BS896" s="29"/>
      <c r="BT896" s="29"/>
      <c r="BU896" s="29"/>
      <c r="BV896" s="29"/>
      <c r="BW896" s="29"/>
      <c r="BX896" s="29"/>
      <c r="BY896" s="29"/>
    </row>
    <row r="897" spans="46:77" x14ac:dyDescent="0.25">
      <c r="AT897" s="29"/>
      <c r="AU897" s="29"/>
      <c r="AV897" s="29"/>
      <c r="AW897" s="29"/>
      <c r="AX897" s="29"/>
      <c r="AY897" s="29"/>
      <c r="AZ897" s="29"/>
      <c r="BA897" s="29"/>
      <c r="BB897" s="29"/>
      <c r="BC897" s="29"/>
      <c r="BD897" s="29"/>
      <c r="BE897" s="29"/>
      <c r="BF897" s="29"/>
      <c r="BG897" s="29"/>
      <c r="BH897" s="29"/>
      <c r="BI897" s="36"/>
      <c r="BJ897" s="36"/>
      <c r="BK897" s="36"/>
      <c r="BL897" s="36"/>
      <c r="BM897" s="36"/>
      <c r="BN897" s="29"/>
      <c r="BO897" s="29"/>
      <c r="BP897" s="29"/>
      <c r="BQ897" s="29"/>
      <c r="BR897" s="29"/>
      <c r="BS897" s="29"/>
      <c r="BT897" s="29"/>
      <c r="BU897" s="29"/>
      <c r="BV897" s="29"/>
      <c r="BW897" s="29"/>
      <c r="BX897" s="29"/>
      <c r="BY897" s="29"/>
    </row>
    <row r="898" spans="46:77" x14ac:dyDescent="0.25">
      <c r="AT898" s="29"/>
      <c r="AU898" s="29"/>
      <c r="AV898" s="29"/>
      <c r="AW898" s="29"/>
      <c r="AX898" s="29"/>
      <c r="AY898" s="29"/>
      <c r="AZ898" s="29"/>
      <c r="BA898" s="29"/>
      <c r="BB898" s="29"/>
      <c r="BC898" s="29"/>
      <c r="BD898" s="29"/>
      <c r="BE898" s="29"/>
      <c r="BF898" s="29"/>
      <c r="BG898" s="29"/>
      <c r="BH898" s="29"/>
      <c r="BI898" s="36"/>
      <c r="BJ898" s="36"/>
      <c r="BK898" s="36"/>
      <c r="BL898" s="36"/>
      <c r="BM898" s="36"/>
      <c r="BN898" s="29"/>
      <c r="BO898" s="29"/>
      <c r="BP898" s="29"/>
      <c r="BQ898" s="29"/>
      <c r="BR898" s="29"/>
      <c r="BS898" s="29"/>
      <c r="BT898" s="29"/>
      <c r="BU898" s="29"/>
      <c r="BV898" s="29"/>
      <c r="BW898" s="29"/>
      <c r="BX898" s="29"/>
      <c r="BY898" s="29"/>
    </row>
    <row r="899" spans="46:77" x14ac:dyDescent="0.25">
      <c r="AT899" s="29"/>
      <c r="AU899" s="29"/>
      <c r="AV899" s="29"/>
      <c r="AW899" s="29"/>
      <c r="AX899" s="29"/>
      <c r="AY899" s="29"/>
      <c r="AZ899" s="29"/>
      <c r="BA899" s="29"/>
      <c r="BB899" s="29"/>
      <c r="BC899" s="29"/>
      <c r="BD899" s="29"/>
      <c r="BE899" s="29"/>
      <c r="BF899" s="29"/>
      <c r="BG899" s="29"/>
      <c r="BH899" s="29"/>
      <c r="BI899" s="36"/>
      <c r="BJ899" s="36"/>
      <c r="BK899" s="36"/>
      <c r="BL899" s="36"/>
      <c r="BM899" s="36"/>
      <c r="BN899" s="29"/>
      <c r="BO899" s="29"/>
      <c r="BP899" s="29"/>
      <c r="BQ899" s="29"/>
      <c r="BR899" s="29"/>
      <c r="BS899" s="29"/>
      <c r="BT899" s="29"/>
      <c r="BU899" s="29"/>
      <c r="BV899" s="29"/>
      <c r="BW899" s="29"/>
      <c r="BX899" s="29"/>
      <c r="BY899" s="29"/>
    </row>
    <row r="900" spans="46:77" x14ac:dyDescent="0.25">
      <c r="AT900" s="29"/>
      <c r="AU900" s="29"/>
      <c r="AV900" s="29"/>
      <c r="AW900" s="29"/>
      <c r="AX900" s="29"/>
      <c r="AY900" s="29"/>
      <c r="AZ900" s="29"/>
      <c r="BA900" s="29"/>
      <c r="BB900" s="29"/>
      <c r="BC900" s="29"/>
      <c r="BD900" s="29"/>
      <c r="BE900" s="29"/>
      <c r="BF900" s="29"/>
      <c r="BG900" s="29"/>
      <c r="BH900" s="29"/>
      <c r="BI900" s="36"/>
      <c r="BJ900" s="36"/>
      <c r="BK900" s="36"/>
      <c r="BL900" s="36"/>
      <c r="BM900" s="36"/>
      <c r="BN900" s="29"/>
      <c r="BO900" s="29"/>
      <c r="BP900" s="29"/>
      <c r="BQ900" s="29"/>
      <c r="BR900" s="29"/>
      <c r="BS900" s="29"/>
      <c r="BT900" s="29"/>
      <c r="BU900" s="29"/>
      <c r="BV900" s="29"/>
      <c r="BW900" s="29"/>
      <c r="BX900" s="29"/>
      <c r="BY900" s="29"/>
    </row>
    <row r="901" spans="46:77" x14ac:dyDescent="0.25">
      <c r="AT901" s="29"/>
      <c r="AU901" s="29"/>
      <c r="AV901" s="29"/>
      <c r="AW901" s="29"/>
      <c r="AX901" s="29"/>
      <c r="AY901" s="29"/>
      <c r="AZ901" s="29"/>
      <c r="BA901" s="29"/>
      <c r="BB901" s="29"/>
      <c r="BC901" s="29"/>
      <c r="BD901" s="29"/>
      <c r="BE901" s="29"/>
      <c r="BF901" s="29"/>
      <c r="BG901" s="29"/>
      <c r="BH901" s="29"/>
      <c r="BI901" s="36"/>
      <c r="BJ901" s="36"/>
      <c r="BK901" s="36"/>
      <c r="BL901" s="36"/>
      <c r="BM901" s="36"/>
      <c r="BN901" s="29"/>
      <c r="BO901" s="29"/>
      <c r="BP901" s="29"/>
      <c r="BQ901" s="29"/>
      <c r="BR901" s="29"/>
      <c r="BS901" s="29"/>
      <c r="BT901" s="29"/>
      <c r="BU901" s="29"/>
      <c r="BV901" s="29"/>
      <c r="BW901" s="29"/>
      <c r="BX901" s="29"/>
      <c r="BY901" s="29"/>
    </row>
    <row r="902" spans="46:77" x14ac:dyDescent="0.25">
      <c r="AT902" s="29"/>
      <c r="AU902" s="29"/>
      <c r="AV902" s="29"/>
      <c r="AW902" s="29"/>
      <c r="AX902" s="29"/>
      <c r="AY902" s="29"/>
      <c r="AZ902" s="29"/>
      <c r="BA902" s="29"/>
      <c r="BB902" s="29"/>
      <c r="BC902" s="29"/>
      <c r="BD902" s="29"/>
      <c r="BE902" s="29"/>
      <c r="BF902" s="29"/>
      <c r="BG902" s="29"/>
      <c r="BH902" s="29"/>
      <c r="BI902" s="36"/>
      <c r="BJ902" s="36"/>
      <c r="BK902" s="36"/>
      <c r="BL902" s="36"/>
      <c r="BM902" s="36"/>
      <c r="BN902" s="29"/>
      <c r="BO902" s="29"/>
      <c r="BP902" s="29"/>
      <c r="BQ902" s="29"/>
      <c r="BR902" s="29"/>
      <c r="BS902" s="29"/>
      <c r="BT902" s="29"/>
      <c r="BU902" s="29"/>
      <c r="BV902" s="29"/>
      <c r="BW902" s="29"/>
      <c r="BX902" s="29"/>
      <c r="BY902" s="29"/>
    </row>
    <row r="903" spans="46:77" x14ac:dyDescent="0.25">
      <c r="AT903" s="29"/>
      <c r="AU903" s="29"/>
      <c r="AV903" s="29"/>
      <c r="AW903" s="29"/>
      <c r="AX903" s="29"/>
      <c r="AY903" s="29"/>
      <c r="AZ903" s="29"/>
      <c r="BA903" s="29"/>
      <c r="BB903" s="29"/>
      <c r="BC903" s="29"/>
      <c r="BD903" s="29"/>
      <c r="BE903" s="29"/>
      <c r="BF903" s="29"/>
      <c r="BG903" s="29"/>
      <c r="BH903" s="29"/>
      <c r="BI903" s="36"/>
      <c r="BJ903" s="36"/>
      <c r="BK903" s="36"/>
      <c r="BL903" s="36"/>
      <c r="BM903" s="36"/>
      <c r="BN903" s="29"/>
      <c r="BO903" s="29"/>
      <c r="BP903" s="29"/>
      <c r="BQ903" s="29"/>
      <c r="BR903" s="29"/>
      <c r="BS903" s="29"/>
      <c r="BT903" s="29"/>
      <c r="BU903" s="29"/>
      <c r="BV903" s="29"/>
      <c r="BW903" s="29"/>
      <c r="BX903" s="29"/>
      <c r="BY903" s="29"/>
    </row>
    <row r="904" spans="46:77" x14ac:dyDescent="0.25">
      <c r="AT904" s="29"/>
      <c r="AU904" s="29"/>
      <c r="AV904" s="29"/>
      <c r="AW904" s="29"/>
      <c r="AX904" s="29"/>
      <c r="AY904" s="29"/>
      <c r="AZ904" s="29"/>
      <c r="BA904" s="29"/>
      <c r="BB904" s="29"/>
      <c r="BC904" s="29"/>
      <c r="BD904" s="29"/>
      <c r="BE904" s="29"/>
      <c r="BF904" s="29"/>
      <c r="BG904" s="29"/>
      <c r="BH904" s="29"/>
      <c r="BI904" s="36"/>
      <c r="BJ904" s="36"/>
      <c r="BK904" s="36"/>
      <c r="BL904" s="36"/>
      <c r="BM904" s="36"/>
      <c r="BN904" s="29"/>
      <c r="BO904" s="29"/>
      <c r="BP904" s="29"/>
      <c r="BQ904" s="29"/>
      <c r="BR904" s="29"/>
      <c r="BS904" s="29"/>
      <c r="BT904" s="29"/>
      <c r="BU904" s="29"/>
      <c r="BV904" s="29"/>
      <c r="BW904" s="29"/>
      <c r="BX904" s="29"/>
      <c r="BY904" s="29"/>
    </row>
    <row r="905" spans="46:77" x14ac:dyDescent="0.25">
      <c r="AT905" s="29"/>
      <c r="AU905" s="29"/>
      <c r="AV905" s="29"/>
      <c r="AW905" s="29"/>
      <c r="AX905" s="29"/>
      <c r="AY905" s="29"/>
      <c r="AZ905" s="29"/>
      <c r="BA905" s="29"/>
      <c r="BB905" s="29"/>
      <c r="BC905" s="29"/>
      <c r="BD905" s="29"/>
      <c r="BE905" s="29"/>
      <c r="BF905" s="29"/>
      <c r="BG905" s="29"/>
      <c r="BH905" s="29"/>
      <c r="BI905" s="36"/>
      <c r="BJ905" s="36"/>
      <c r="BK905" s="36"/>
      <c r="BL905" s="36"/>
      <c r="BM905" s="36"/>
      <c r="BN905" s="29"/>
      <c r="BO905" s="29"/>
      <c r="BP905" s="29"/>
      <c r="BQ905" s="29"/>
      <c r="BR905" s="29"/>
      <c r="BS905" s="29"/>
      <c r="BT905" s="29"/>
      <c r="BU905" s="29"/>
      <c r="BV905" s="29"/>
      <c r="BW905" s="29"/>
      <c r="BX905" s="29"/>
      <c r="BY905" s="29"/>
    </row>
    <row r="906" spans="46:77" x14ac:dyDescent="0.25">
      <c r="AT906" s="29"/>
      <c r="AU906" s="29"/>
      <c r="AV906" s="29"/>
      <c r="AW906" s="29"/>
      <c r="AX906" s="29"/>
      <c r="AY906" s="29"/>
      <c r="AZ906" s="29"/>
      <c r="BA906" s="29"/>
      <c r="BB906" s="29"/>
      <c r="BC906" s="29"/>
      <c r="BD906" s="29"/>
      <c r="BE906" s="29"/>
      <c r="BF906" s="29"/>
      <c r="BG906" s="29"/>
      <c r="BH906" s="29"/>
      <c r="BI906" s="36"/>
      <c r="BJ906" s="36"/>
      <c r="BK906" s="36"/>
      <c r="BL906" s="36"/>
      <c r="BM906" s="36"/>
      <c r="BN906" s="29"/>
      <c r="BO906" s="29"/>
      <c r="BP906" s="29"/>
      <c r="BQ906" s="29"/>
      <c r="BR906" s="29"/>
      <c r="BS906" s="29"/>
      <c r="BT906" s="29"/>
      <c r="BU906" s="29"/>
      <c r="BV906" s="29"/>
      <c r="BW906" s="29"/>
      <c r="BX906" s="29"/>
      <c r="BY906" s="29"/>
    </row>
    <row r="907" spans="46:77" x14ac:dyDescent="0.25">
      <c r="AT907" s="29"/>
      <c r="AU907" s="29"/>
      <c r="AV907" s="29"/>
      <c r="AW907" s="29"/>
      <c r="AX907" s="29"/>
      <c r="AY907" s="29"/>
      <c r="AZ907" s="29"/>
      <c r="BA907" s="29"/>
      <c r="BB907" s="29"/>
      <c r="BC907" s="29"/>
      <c r="BD907" s="29"/>
      <c r="BE907" s="29"/>
      <c r="BF907" s="29"/>
      <c r="BG907" s="29"/>
      <c r="BH907" s="29"/>
      <c r="BI907" s="36"/>
      <c r="BJ907" s="36"/>
      <c r="BK907" s="36"/>
      <c r="BL907" s="36"/>
      <c r="BM907" s="36"/>
      <c r="BN907" s="29"/>
      <c r="BO907" s="29"/>
      <c r="BP907" s="29"/>
      <c r="BQ907" s="29"/>
      <c r="BR907" s="29"/>
      <c r="BS907" s="29"/>
      <c r="BT907" s="29"/>
      <c r="BU907" s="29"/>
      <c r="BV907" s="29"/>
      <c r="BW907" s="29"/>
      <c r="BX907" s="29"/>
      <c r="BY907" s="29"/>
    </row>
    <row r="908" spans="46:77" x14ac:dyDescent="0.25">
      <c r="AT908" s="29"/>
      <c r="AU908" s="29"/>
      <c r="AV908" s="29"/>
      <c r="AW908" s="29"/>
      <c r="AX908" s="29"/>
      <c r="AY908" s="29"/>
      <c r="AZ908" s="29"/>
      <c r="BA908" s="29"/>
      <c r="BB908" s="29"/>
      <c r="BC908" s="29"/>
      <c r="BD908" s="29"/>
      <c r="BE908" s="29"/>
      <c r="BF908" s="29"/>
      <c r="BG908" s="29"/>
      <c r="BH908" s="29"/>
      <c r="BI908" s="36"/>
      <c r="BJ908" s="36"/>
      <c r="BK908" s="36"/>
      <c r="BL908" s="36"/>
      <c r="BM908" s="36"/>
      <c r="BN908" s="29"/>
      <c r="BO908" s="29"/>
      <c r="BP908" s="29"/>
      <c r="BQ908" s="29"/>
      <c r="BR908" s="29"/>
      <c r="BS908" s="29"/>
      <c r="BT908" s="29"/>
      <c r="BU908" s="29"/>
      <c r="BV908" s="29"/>
      <c r="BW908" s="29"/>
      <c r="BX908" s="29"/>
      <c r="BY908" s="29"/>
    </row>
    <row r="909" spans="46:77" x14ac:dyDescent="0.25">
      <c r="AT909" s="29"/>
      <c r="AU909" s="29"/>
      <c r="AV909" s="29"/>
      <c r="AW909" s="29"/>
      <c r="AX909" s="29"/>
      <c r="AY909" s="29"/>
      <c r="AZ909" s="29"/>
      <c r="BA909" s="29"/>
      <c r="BB909" s="29"/>
      <c r="BC909" s="29"/>
      <c r="BD909" s="29"/>
      <c r="BE909" s="29"/>
      <c r="BF909" s="29"/>
      <c r="BG909" s="29"/>
      <c r="BH909" s="29"/>
      <c r="BI909" s="36"/>
      <c r="BJ909" s="36"/>
      <c r="BK909" s="36"/>
      <c r="BL909" s="36"/>
      <c r="BM909" s="36"/>
      <c r="BN909" s="29"/>
      <c r="BO909" s="29"/>
      <c r="BP909" s="29"/>
      <c r="BQ909" s="29"/>
      <c r="BR909" s="29"/>
      <c r="BS909" s="29"/>
      <c r="BT909" s="29"/>
      <c r="BU909" s="29"/>
      <c r="BV909" s="29"/>
      <c r="BW909" s="29"/>
      <c r="BX909" s="29"/>
      <c r="BY909" s="29"/>
    </row>
    <row r="910" spans="46:77" x14ac:dyDescent="0.25">
      <c r="AT910" s="29"/>
      <c r="AU910" s="29"/>
      <c r="AV910" s="29"/>
      <c r="AW910" s="29"/>
      <c r="AX910" s="29"/>
      <c r="AY910" s="29"/>
      <c r="AZ910" s="29"/>
      <c r="BA910" s="29"/>
      <c r="BB910" s="29"/>
      <c r="BC910" s="29"/>
      <c r="BD910" s="29"/>
      <c r="BE910" s="29"/>
      <c r="BF910" s="29"/>
      <c r="BG910" s="29"/>
      <c r="BH910" s="29"/>
      <c r="BI910" s="36"/>
      <c r="BJ910" s="36"/>
      <c r="BK910" s="36"/>
      <c r="BL910" s="36"/>
      <c r="BM910" s="36"/>
      <c r="BN910" s="29"/>
      <c r="BO910" s="29"/>
      <c r="BP910" s="29"/>
      <c r="BQ910" s="29"/>
      <c r="BR910" s="29"/>
      <c r="BS910" s="29"/>
      <c r="BT910" s="29"/>
      <c r="BU910" s="29"/>
      <c r="BV910" s="29"/>
      <c r="BW910" s="29"/>
      <c r="BX910" s="29"/>
      <c r="BY910" s="29"/>
    </row>
    <row r="911" spans="46:77" x14ac:dyDescent="0.25">
      <c r="AT911" s="29"/>
      <c r="AU911" s="29"/>
      <c r="AV911" s="29"/>
      <c r="AW911" s="29"/>
      <c r="AX911" s="29"/>
      <c r="AY911" s="29"/>
      <c r="AZ911" s="29"/>
      <c r="BA911" s="29"/>
      <c r="BB911" s="29"/>
      <c r="BC911" s="29"/>
      <c r="BD911" s="29"/>
      <c r="BE911" s="29"/>
      <c r="BF911" s="29"/>
      <c r="BG911" s="29"/>
      <c r="BH911" s="29"/>
      <c r="BI911" s="36"/>
      <c r="BJ911" s="36"/>
      <c r="BK911" s="36"/>
      <c r="BL911" s="36"/>
      <c r="BM911" s="36"/>
      <c r="BN911" s="29"/>
      <c r="BO911" s="29"/>
      <c r="BP911" s="29"/>
      <c r="BQ911" s="29"/>
      <c r="BR911" s="29"/>
      <c r="BS911" s="29"/>
      <c r="BT911" s="29"/>
      <c r="BU911" s="29"/>
      <c r="BV911" s="29"/>
      <c r="BW911" s="29"/>
      <c r="BX911" s="29"/>
      <c r="BY911" s="29"/>
    </row>
    <row r="912" spans="46:77" x14ac:dyDescent="0.25">
      <c r="AT912" s="29"/>
      <c r="AU912" s="29"/>
      <c r="AV912" s="29"/>
      <c r="AW912" s="29"/>
      <c r="AX912" s="29"/>
      <c r="AY912" s="29"/>
      <c r="AZ912" s="29"/>
      <c r="BA912" s="29"/>
      <c r="BB912" s="29"/>
      <c r="BC912" s="29"/>
      <c r="BD912" s="29"/>
      <c r="BE912" s="29"/>
      <c r="BF912" s="29"/>
      <c r="BG912" s="29"/>
      <c r="BH912" s="29"/>
      <c r="BI912" s="36"/>
      <c r="BJ912" s="36"/>
      <c r="BK912" s="36"/>
      <c r="BL912" s="36"/>
      <c r="BM912" s="36"/>
      <c r="BN912" s="29"/>
      <c r="BO912" s="29"/>
      <c r="BP912" s="29"/>
      <c r="BQ912" s="29"/>
      <c r="BR912" s="29"/>
      <c r="BS912" s="29"/>
      <c r="BT912" s="29"/>
      <c r="BU912" s="29"/>
      <c r="BV912" s="29"/>
      <c r="BW912" s="29"/>
      <c r="BX912" s="29"/>
      <c r="BY912" s="29"/>
    </row>
    <row r="913" spans="46:77" x14ac:dyDescent="0.25">
      <c r="AT913" s="29"/>
      <c r="AU913" s="29"/>
      <c r="AV913" s="29"/>
      <c r="AW913" s="29"/>
      <c r="AX913" s="29"/>
      <c r="AY913" s="29"/>
      <c r="AZ913" s="29"/>
      <c r="BA913" s="29"/>
      <c r="BB913" s="29"/>
      <c r="BC913" s="29"/>
      <c r="BD913" s="29"/>
      <c r="BE913" s="29"/>
      <c r="BF913" s="29"/>
      <c r="BG913" s="29"/>
      <c r="BH913" s="29"/>
      <c r="BI913" s="36"/>
      <c r="BJ913" s="36"/>
      <c r="BK913" s="36"/>
      <c r="BL913" s="36"/>
      <c r="BM913" s="36"/>
      <c r="BN913" s="29"/>
      <c r="BO913" s="29"/>
      <c r="BP913" s="29"/>
      <c r="BQ913" s="29"/>
      <c r="BR913" s="29"/>
      <c r="BS913" s="29"/>
      <c r="BT913" s="29"/>
      <c r="BU913" s="29"/>
      <c r="BV913" s="29"/>
      <c r="BW913" s="29"/>
      <c r="BX913" s="29"/>
      <c r="BY913" s="29"/>
    </row>
    <row r="914" spans="46:77" x14ac:dyDescent="0.25">
      <c r="AT914" s="29"/>
      <c r="AU914" s="29"/>
      <c r="AV914" s="29"/>
      <c r="AW914" s="29"/>
      <c r="AX914" s="29"/>
      <c r="AY914" s="29"/>
      <c r="AZ914" s="29"/>
      <c r="BA914" s="29"/>
      <c r="BB914" s="29"/>
      <c r="BC914" s="29"/>
      <c r="BD914" s="29"/>
      <c r="BE914" s="29"/>
      <c r="BF914" s="29"/>
      <c r="BG914" s="29"/>
      <c r="BH914" s="29"/>
      <c r="BI914" s="36"/>
      <c r="BJ914" s="36"/>
      <c r="BK914" s="36"/>
      <c r="BL914" s="36"/>
      <c r="BM914" s="36"/>
      <c r="BN914" s="29"/>
      <c r="BO914" s="29"/>
      <c r="BP914" s="29"/>
      <c r="BQ914" s="29"/>
      <c r="BR914" s="29"/>
      <c r="BS914" s="29"/>
      <c r="BT914" s="29"/>
      <c r="BU914" s="29"/>
      <c r="BV914" s="29"/>
      <c r="BW914" s="29"/>
      <c r="BX914" s="29"/>
      <c r="BY914" s="29"/>
    </row>
    <row r="915" spans="46:77" x14ac:dyDescent="0.25">
      <c r="AT915" s="29"/>
      <c r="AU915" s="29"/>
      <c r="AV915" s="29"/>
      <c r="AW915" s="29"/>
      <c r="AX915" s="29"/>
      <c r="AY915" s="29"/>
      <c r="AZ915" s="29"/>
      <c r="BA915" s="29"/>
      <c r="BB915" s="29"/>
      <c r="BC915" s="29"/>
      <c r="BD915" s="29"/>
      <c r="BE915" s="29"/>
      <c r="BF915" s="29"/>
      <c r="BG915" s="29"/>
      <c r="BH915" s="29"/>
      <c r="BI915" s="36"/>
      <c r="BJ915" s="36"/>
      <c r="BK915" s="36"/>
      <c r="BL915" s="36"/>
      <c r="BM915" s="36"/>
      <c r="BN915" s="29"/>
      <c r="BO915" s="29"/>
      <c r="BP915" s="29"/>
      <c r="BQ915" s="29"/>
      <c r="BR915" s="29"/>
      <c r="BS915" s="29"/>
      <c r="BT915" s="29"/>
      <c r="BU915" s="29"/>
      <c r="BV915" s="29"/>
      <c r="BW915" s="29"/>
      <c r="BX915" s="29"/>
      <c r="BY915" s="29"/>
    </row>
    <row r="916" spans="46:77" x14ac:dyDescent="0.25">
      <c r="AT916" s="29"/>
      <c r="AU916" s="29"/>
      <c r="AV916" s="29"/>
      <c r="AW916" s="29"/>
      <c r="AX916" s="29"/>
      <c r="AY916" s="29"/>
      <c r="AZ916" s="29"/>
      <c r="BA916" s="29"/>
      <c r="BB916" s="29"/>
      <c r="BC916" s="29"/>
      <c r="BD916" s="29"/>
      <c r="BE916" s="29"/>
      <c r="BF916" s="29"/>
      <c r="BG916" s="29"/>
      <c r="BH916" s="29"/>
      <c r="BI916" s="36"/>
      <c r="BJ916" s="36"/>
      <c r="BK916" s="36"/>
      <c r="BL916" s="36"/>
      <c r="BM916" s="36"/>
      <c r="BN916" s="29"/>
      <c r="BO916" s="29"/>
      <c r="BP916" s="29"/>
      <c r="BQ916" s="29"/>
      <c r="BR916" s="29"/>
      <c r="BS916" s="29"/>
      <c r="BT916" s="29"/>
      <c r="BU916" s="29"/>
      <c r="BV916" s="29"/>
      <c r="BW916" s="29"/>
      <c r="BX916" s="29"/>
      <c r="BY916" s="29"/>
    </row>
    <row r="917" spans="46:77" x14ac:dyDescent="0.25">
      <c r="AT917" s="29"/>
      <c r="AU917" s="29"/>
      <c r="AV917" s="29"/>
      <c r="AW917" s="29"/>
      <c r="AX917" s="29"/>
      <c r="AY917" s="29"/>
      <c r="AZ917" s="29"/>
      <c r="BA917" s="29"/>
      <c r="BB917" s="29"/>
      <c r="BC917" s="29"/>
      <c r="BD917" s="29"/>
      <c r="BE917" s="29"/>
      <c r="BF917" s="29"/>
      <c r="BG917" s="29"/>
      <c r="BH917" s="29"/>
      <c r="BI917" s="36"/>
      <c r="BJ917" s="36"/>
      <c r="BK917" s="36"/>
      <c r="BL917" s="36"/>
      <c r="BM917" s="36"/>
      <c r="BN917" s="29"/>
      <c r="BO917" s="29"/>
      <c r="BP917" s="29"/>
      <c r="BQ917" s="29"/>
      <c r="BR917" s="29"/>
      <c r="BS917" s="29"/>
      <c r="BT917" s="29"/>
      <c r="BU917" s="29"/>
      <c r="BV917" s="29"/>
      <c r="BW917" s="29"/>
      <c r="BX917" s="29"/>
      <c r="BY917" s="29"/>
    </row>
    <row r="918" spans="46:77" x14ac:dyDescent="0.25">
      <c r="AT918" s="29"/>
      <c r="AU918" s="29"/>
      <c r="AV918" s="29"/>
      <c r="AW918" s="29"/>
      <c r="AX918" s="29"/>
      <c r="AY918" s="29"/>
      <c r="AZ918" s="29"/>
      <c r="BA918" s="29"/>
      <c r="BB918" s="29"/>
      <c r="BC918" s="29"/>
      <c r="BD918" s="29"/>
      <c r="BE918" s="29"/>
      <c r="BF918" s="29"/>
      <c r="BG918" s="29"/>
      <c r="BH918" s="29"/>
      <c r="BI918" s="36"/>
      <c r="BJ918" s="36"/>
      <c r="BK918" s="36"/>
      <c r="BL918" s="36"/>
      <c r="BM918" s="36"/>
      <c r="BN918" s="29"/>
      <c r="BO918" s="29"/>
      <c r="BP918" s="29"/>
      <c r="BQ918" s="29"/>
      <c r="BR918" s="29"/>
      <c r="BS918" s="29"/>
      <c r="BT918" s="29"/>
      <c r="BU918" s="29"/>
      <c r="BV918" s="29"/>
      <c r="BW918" s="29"/>
      <c r="BX918" s="29"/>
      <c r="BY918" s="29"/>
    </row>
    <row r="919" spans="46:77" x14ac:dyDescent="0.25">
      <c r="AT919" s="29"/>
      <c r="AU919" s="29"/>
      <c r="AV919" s="29"/>
      <c r="AW919" s="29"/>
      <c r="AX919" s="29"/>
      <c r="AY919" s="29"/>
      <c r="AZ919" s="29"/>
      <c r="BA919" s="29"/>
      <c r="BB919" s="29"/>
      <c r="BC919" s="29"/>
      <c r="BD919" s="29"/>
      <c r="BE919" s="29"/>
      <c r="BF919" s="29"/>
      <c r="BG919" s="29"/>
      <c r="BH919" s="29"/>
      <c r="BI919" s="36"/>
      <c r="BJ919" s="36"/>
      <c r="BK919" s="36"/>
      <c r="BL919" s="36"/>
      <c r="BM919" s="36"/>
      <c r="BN919" s="29"/>
      <c r="BO919" s="29"/>
      <c r="BP919" s="29"/>
      <c r="BQ919" s="29"/>
      <c r="BR919" s="29"/>
      <c r="BS919" s="29"/>
      <c r="BT919" s="29"/>
      <c r="BU919" s="29"/>
      <c r="BV919" s="29"/>
      <c r="BW919" s="29"/>
      <c r="BX919" s="29"/>
      <c r="BY919" s="29"/>
    </row>
    <row r="920" spans="46:77" x14ac:dyDescent="0.25">
      <c r="AT920" s="29"/>
      <c r="AU920" s="29"/>
      <c r="AV920" s="29"/>
      <c r="AW920" s="29"/>
      <c r="AX920" s="29"/>
      <c r="AY920" s="29"/>
      <c r="AZ920" s="29"/>
      <c r="BA920" s="29"/>
      <c r="BB920" s="29"/>
      <c r="BC920" s="29"/>
      <c r="BD920" s="29"/>
      <c r="BE920" s="29"/>
      <c r="BF920" s="29"/>
      <c r="BG920" s="29"/>
      <c r="BH920" s="29"/>
      <c r="BI920" s="36"/>
      <c r="BJ920" s="36"/>
      <c r="BK920" s="36"/>
      <c r="BL920" s="36"/>
      <c r="BM920" s="36"/>
      <c r="BN920" s="29"/>
      <c r="BO920" s="29"/>
      <c r="BP920" s="29"/>
      <c r="BQ920" s="29"/>
      <c r="BR920" s="29"/>
      <c r="BS920" s="29"/>
      <c r="BT920" s="29"/>
      <c r="BU920" s="29"/>
      <c r="BV920" s="29"/>
      <c r="BW920" s="29"/>
      <c r="BX920" s="29"/>
      <c r="BY920" s="29"/>
    </row>
    <row r="921" spans="46:77" x14ac:dyDescent="0.25">
      <c r="AT921" s="29"/>
      <c r="AU921" s="29"/>
      <c r="AV921" s="29"/>
      <c r="AW921" s="29"/>
      <c r="AX921" s="29"/>
      <c r="AY921" s="29"/>
      <c r="AZ921" s="29"/>
      <c r="BA921" s="29"/>
      <c r="BB921" s="29"/>
      <c r="BC921" s="29"/>
      <c r="BD921" s="29"/>
      <c r="BE921" s="29"/>
      <c r="BF921" s="29"/>
      <c r="BG921" s="29"/>
      <c r="BH921" s="29"/>
      <c r="BI921" s="36"/>
      <c r="BJ921" s="36"/>
      <c r="BK921" s="36"/>
      <c r="BL921" s="36"/>
      <c r="BM921" s="36"/>
      <c r="BN921" s="29"/>
      <c r="BO921" s="29"/>
      <c r="BP921" s="29"/>
      <c r="BQ921" s="29"/>
      <c r="BR921" s="29"/>
      <c r="BS921" s="29"/>
      <c r="BT921" s="29"/>
      <c r="BU921" s="29"/>
      <c r="BV921" s="29"/>
      <c r="BW921" s="29"/>
      <c r="BX921" s="29"/>
      <c r="BY921" s="29"/>
    </row>
    <row r="922" spans="46:77" x14ac:dyDescent="0.25">
      <c r="AT922" s="29"/>
      <c r="AU922" s="29"/>
      <c r="AV922" s="29"/>
      <c r="AW922" s="29"/>
      <c r="AX922" s="29"/>
      <c r="AY922" s="29"/>
      <c r="AZ922" s="29"/>
      <c r="BA922" s="29"/>
      <c r="BB922" s="29"/>
      <c r="BC922" s="29"/>
      <c r="BD922" s="29"/>
      <c r="BE922" s="29"/>
      <c r="BF922" s="29"/>
      <c r="BG922" s="29"/>
      <c r="BH922" s="29"/>
      <c r="BI922" s="36"/>
      <c r="BJ922" s="36"/>
      <c r="BK922" s="36"/>
      <c r="BL922" s="36"/>
      <c r="BM922" s="36"/>
      <c r="BN922" s="29"/>
      <c r="BO922" s="29"/>
      <c r="BP922" s="29"/>
      <c r="BQ922" s="29"/>
      <c r="BR922" s="29"/>
      <c r="BS922" s="29"/>
      <c r="BT922" s="29"/>
      <c r="BU922" s="29"/>
      <c r="BV922" s="29"/>
      <c r="BW922" s="29"/>
      <c r="BX922" s="29"/>
      <c r="BY922" s="29"/>
    </row>
    <row r="923" spans="46:77" x14ac:dyDescent="0.25">
      <c r="AT923" s="29"/>
      <c r="AU923" s="29"/>
      <c r="AV923" s="29"/>
      <c r="AW923" s="29"/>
      <c r="AX923" s="29"/>
      <c r="AY923" s="29"/>
      <c r="AZ923" s="29"/>
      <c r="BA923" s="29"/>
      <c r="BB923" s="29"/>
      <c r="BC923" s="29"/>
      <c r="BD923" s="29"/>
      <c r="BE923" s="29"/>
      <c r="BF923" s="29"/>
      <c r="BG923" s="29"/>
      <c r="BH923" s="29"/>
      <c r="BI923" s="36"/>
      <c r="BJ923" s="36"/>
      <c r="BK923" s="36"/>
      <c r="BL923" s="36"/>
      <c r="BM923" s="36"/>
      <c r="BN923" s="29"/>
      <c r="BO923" s="29"/>
      <c r="BP923" s="29"/>
      <c r="BQ923" s="29"/>
      <c r="BR923" s="29"/>
      <c r="BS923" s="29"/>
      <c r="BT923" s="29"/>
      <c r="BU923" s="29"/>
      <c r="BV923" s="29"/>
      <c r="BW923" s="29"/>
      <c r="BX923" s="29"/>
      <c r="BY923" s="29"/>
    </row>
    <row r="924" spans="46:77" x14ac:dyDescent="0.25">
      <c r="AT924" s="29"/>
      <c r="AU924" s="29"/>
      <c r="AV924" s="29"/>
      <c r="AW924" s="29"/>
      <c r="AX924" s="29"/>
      <c r="AY924" s="29"/>
      <c r="AZ924" s="29"/>
      <c r="BA924" s="29"/>
      <c r="BB924" s="29"/>
      <c r="BC924" s="29"/>
      <c r="BD924" s="29"/>
      <c r="BE924" s="29"/>
      <c r="BF924" s="29"/>
      <c r="BG924" s="29"/>
      <c r="BH924" s="29"/>
      <c r="BI924" s="36"/>
      <c r="BJ924" s="36"/>
      <c r="BK924" s="36"/>
      <c r="BL924" s="36"/>
      <c r="BM924" s="36"/>
      <c r="BN924" s="29"/>
      <c r="BO924" s="29"/>
      <c r="BP924" s="29"/>
      <c r="BQ924" s="29"/>
      <c r="BR924" s="29"/>
      <c r="BS924" s="29"/>
      <c r="BT924" s="29"/>
      <c r="BU924" s="29"/>
      <c r="BV924" s="29"/>
      <c r="BW924" s="29"/>
      <c r="BX924" s="29"/>
      <c r="BY924" s="29"/>
    </row>
    <row r="925" spans="46:77" x14ac:dyDescent="0.25">
      <c r="AT925" s="29"/>
      <c r="AU925" s="29"/>
      <c r="AV925" s="29"/>
      <c r="AW925" s="29"/>
      <c r="AX925" s="29"/>
      <c r="AY925" s="29"/>
      <c r="AZ925" s="29"/>
      <c r="BA925" s="29"/>
      <c r="BB925" s="29"/>
      <c r="BC925" s="29"/>
      <c r="BD925" s="29"/>
      <c r="BE925" s="29"/>
      <c r="BF925" s="29"/>
      <c r="BG925" s="29"/>
      <c r="BH925" s="29"/>
      <c r="BI925" s="36"/>
      <c r="BJ925" s="36"/>
      <c r="BK925" s="36"/>
      <c r="BL925" s="36"/>
      <c r="BM925" s="36"/>
      <c r="BN925" s="29"/>
      <c r="BO925" s="29"/>
      <c r="BP925" s="29"/>
      <c r="BQ925" s="29"/>
      <c r="BR925" s="29"/>
      <c r="BS925" s="29"/>
      <c r="BT925" s="29"/>
      <c r="BU925" s="29"/>
      <c r="BV925" s="29"/>
      <c r="BW925" s="29"/>
      <c r="BX925" s="29"/>
      <c r="BY925" s="29"/>
    </row>
    <row r="926" spans="46:77" x14ac:dyDescent="0.25">
      <c r="AT926" s="29"/>
      <c r="AU926" s="29"/>
      <c r="AV926" s="29"/>
      <c r="AW926" s="29"/>
      <c r="AX926" s="29"/>
      <c r="AY926" s="29"/>
      <c r="AZ926" s="29"/>
      <c r="BA926" s="29"/>
      <c r="BB926" s="29"/>
      <c r="BC926" s="29"/>
      <c r="BD926" s="29"/>
      <c r="BE926" s="29"/>
      <c r="BF926" s="29"/>
      <c r="BG926" s="29"/>
      <c r="BH926" s="29"/>
      <c r="BI926" s="36"/>
      <c r="BJ926" s="36"/>
      <c r="BK926" s="36"/>
      <c r="BL926" s="36"/>
      <c r="BM926" s="36"/>
      <c r="BN926" s="29"/>
      <c r="BO926" s="29"/>
      <c r="BP926" s="29"/>
      <c r="BQ926" s="29"/>
      <c r="BR926" s="29"/>
      <c r="BS926" s="29"/>
      <c r="BT926" s="29"/>
      <c r="BU926" s="29"/>
      <c r="BV926" s="29"/>
      <c r="BW926" s="29"/>
      <c r="BX926" s="29"/>
      <c r="BY926" s="29"/>
    </row>
    <row r="927" spans="46:77" x14ac:dyDescent="0.25">
      <c r="AT927" s="29"/>
      <c r="AU927" s="29"/>
      <c r="AV927" s="29"/>
      <c r="AW927" s="29"/>
      <c r="AX927" s="29"/>
      <c r="AY927" s="29"/>
      <c r="AZ927" s="29"/>
      <c r="BA927" s="29"/>
      <c r="BB927" s="29"/>
      <c r="BC927" s="29"/>
      <c r="BD927" s="29"/>
      <c r="BE927" s="29"/>
      <c r="BF927" s="29"/>
      <c r="BG927" s="29"/>
      <c r="BH927" s="29"/>
      <c r="BI927" s="36"/>
      <c r="BJ927" s="36"/>
      <c r="BK927" s="36"/>
      <c r="BL927" s="36"/>
      <c r="BM927" s="36"/>
      <c r="BN927" s="29"/>
      <c r="BO927" s="29"/>
      <c r="BP927" s="29"/>
      <c r="BQ927" s="29"/>
      <c r="BR927" s="29"/>
      <c r="BS927" s="29"/>
      <c r="BT927" s="29"/>
      <c r="BU927" s="29"/>
      <c r="BV927" s="29"/>
      <c r="BW927" s="29"/>
      <c r="BX927" s="29"/>
      <c r="BY927" s="29"/>
    </row>
    <row r="928" spans="46:77" x14ac:dyDescent="0.25">
      <c r="AT928" s="29"/>
      <c r="AU928" s="29"/>
      <c r="AV928" s="29"/>
      <c r="AW928" s="29"/>
      <c r="AX928" s="29"/>
      <c r="AY928" s="29"/>
      <c r="AZ928" s="29"/>
      <c r="BA928" s="29"/>
      <c r="BB928" s="29"/>
      <c r="BC928" s="29"/>
      <c r="BD928" s="29"/>
      <c r="BE928" s="29"/>
      <c r="BF928" s="29"/>
      <c r="BG928" s="29"/>
      <c r="BH928" s="29"/>
      <c r="BI928" s="36"/>
      <c r="BJ928" s="36"/>
      <c r="BK928" s="36"/>
      <c r="BL928" s="36"/>
      <c r="BM928" s="36"/>
      <c r="BN928" s="29"/>
      <c r="BO928" s="29"/>
      <c r="BP928" s="29"/>
      <c r="BQ928" s="29"/>
      <c r="BR928" s="29"/>
      <c r="BS928" s="29"/>
      <c r="BT928" s="29"/>
      <c r="BU928" s="29"/>
      <c r="BV928" s="29"/>
      <c r="BW928" s="29"/>
      <c r="BX928" s="29"/>
      <c r="BY928" s="29"/>
    </row>
    <row r="929" spans="46:77" x14ac:dyDescent="0.25">
      <c r="AT929" s="29"/>
      <c r="AU929" s="29"/>
      <c r="AV929" s="29"/>
      <c r="AW929" s="29"/>
      <c r="AX929" s="29"/>
      <c r="AY929" s="29"/>
      <c r="AZ929" s="29"/>
      <c r="BA929" s="29"/>
      <c r="BB929" s="29"/>
      <c r="BC929" s="29"/>
      <c r="BD929" s="29"/>
      <c r="BE929" s="29"/>
      <c r="BF929" s="29"/>
      <c r="BG929" s="29"/>
      <c r="BH929" s="29"/>
      <c r="BI929" s="36"/>
      <c r="BJ929" s="36"/>
      <c r="BK929" s="36"/>
      <c r="BL929" s="36"/>
      <c r="BM929" s="36"/>
      <c r="BN929" s="29"/>
      <c r="BO929" s="29"/>
      <c r="BP929" s="29"/>
      <c r="BQ929" s="29"/>
      <c r="BR929" s="29"/>
      <c r="BS929" s="29"/>
      <c r="BT929" s="29"/>
      <c r="BU929" s="29"/>
      <c r="BV929" s="29"/>
      <c r="BW929" s="29"/>
      <c r="BX929" s="29"/>
      <c r="BY929" s="29"/>
    </row>
    <row r="930" spans="46:77" x14ac:dyDescent="0.25">
      <c r="AT930" s="29"/>
      <c r="AU930" s="29"/>
      <c r="AV930" s="29"/>
      <c r="AW930" s="29"/>
      <c r="AX930" s="29"/>
      <c r="AY930" s="29"/>
      <c r="AZ930" s="29"/>
      <c r="BA930" s="29"/>
      <c r="BB930" s="29"/>
      <c r="BC930" s="29"/>
      <c r="BD930" s="29"/>
      <c r="BE930" s="29"/>
      <c r="BF930" s="29"/>
      <c r="BG930" s="29"/>
      <c r="BH930" s="29"/>
      <c r="BI930" s="36"/>
      <c r="BJ930" s="36"/>
      <c r="BK930" s="36"/>
      <c r="BL930" s="36"/>
      <c r="BM930" s="36"/>
      <c r="BN930" s="29"/>
      <c r="BO930" s="29"/>
      <c r="BP930" s="29"/>
      <c r="BQ930" s="29"/>
      <c r="BR930" s="29"/>
      <c r="BS930" s="29"/>
      <c r="BT930" s="29"/>
      <c r="BU930" s="29"/>
      <c r="BV930" s="29"/>
      <c r="BW930" s="29"/>
      <c r="BX930" s="29"/>
      <c r="BY930" s="29"/>
    </row>
    <row r="931" spans="46:77" x14ac:dyDescent="0.25">
      <c r="AT931" s="29"/>
      <c r="AU931" s="29"/>
      <c r="AV931" s="29"/>
      <c r="AW931" s="29"/>
      <c r="AX931" s="29"/>
      <c r="AY931" s="29"/>
      <c r="AZ931" s="29"/>
      <c r="BA931" s="29"/>
      <c r="BB931" s="29"/>
      <c r="BC931" s="29"/>
      <c r="BD931" s="29"/>
      <c r="BE931" s="29"/>
      <c r="BF931" s="29"/>
      <c r="BG931" s="29"/>
      <c r="BH931" s="29"/>
      <c r="BI931" s="36"/>
      <c r="BJ931" s="36"/>
      <c r="BK931" s="36"/>
      <c r="BL931" s="36"/>
      <c r="BM931" s="36"/>
      <c r="BN931" s="29"/>
      <c r="BO931" s="29"/>
      <c r="BP931" s="29"/>
      <c r="BQ931" s="29"/>
      <c r="BR931" s="29"/>
      <c r="BS931" s="29"/>
      <c r="BT931" s="29"/>
      <c r="BU931" s="29"/>
      <c r="BV931" s="29"/>
      <c r="BW931" s="29"/>
      <c r="BX931" s="29"/>
      <c r="BY931" s="29"/>
    </row>
    <row r="932" spans="46:77" x14ac:dyDescent="0.25">
      <c r="AT932" s="29"/>
      <c r="AU932" s="29"/>
      <c r="AV932" s="29"/>
      <c r="AW932" s="29"/>
      <c r="AX932" s="29"/>
      <c r="AY932" s="29"/>
      <c r="AZ932" s="29"/>
      <c r="BA932" s="29"/>
      <c r="BB932" s="29"/>
      <c r="BC932" s="29"/>
      <c r="BD932" s="29"/>
      <c r="BE932" s="29"/>
      <c r="BF932" s="29"/>
      <c r="BG932" s="29"/>
      <c r="BH932" s="29"/>
      <c r="BI932" s="36"/>
      <c r="BJ932" s="36"/>
      <c r="BK932" s="36"/>
      <c r="BL932" s="36"/>
      <c r="BM932" s="36"/>
      <c r="BN932" s="29"/>
      <c r="BO932" s="29"/>
      <c r="BP932" s="29"/>
      <c r="BQ932" s="29"/>
      <c r="BR932" s="29"/>
      <c r="BS932" s="29"/>
      <c r="BT932" s="29"/>
      <c r="BU932" s="29"/>
      <c r="BV932" s="29"/>
      <c r="BW932" s="29"/>
      <c r="BX932" s="29"/>
      <c r="BY932" s="29"/>
    </row>
    <row r="933" spans="46:77" x14ac:dyDescent="0.25">
      <c r="AT933" s="29"/>
      <c r="AU933" s="29"/>
      <c r="AV933" s="29"/>
      <c r="AW933" s="29"/>
      <c r="AX933" s="29"/>
      <c r="AY933" s="29"/>
      <c r="AZ933" s="29"/>
      <c r="BA933" s="29"/>
      <c r="BB933" s="29"/>
      <c r="BC933" s="29"/>
      <c r="BD933" s="29"/>
      <c r="BE933" s="29"/>
      <c r="BF933" s="29"/>
      <c r="BG933" s="29"/>
      <c r="BH933" s="29"/>
      <c r="BI933" s="36"/>
      <c r="BJ933" s="36"/>
      <c r="BK933" s="36"/>
      <c r="BL933" s="36"/>
      <c r="BM933" s="36"/>
      <c r="BN933" s="29"/>
      <c r="BO933" s="29"/>
      <c r="BP933" s="29"/>
      <c r="BQ933" s="29"/>
      <c r="BR933" s="29"/>
      <c r="BS933" s="29"/>
      <c r="BT933" s="29"/>
      <c r="BU933" s="29"/>
      <c r="BV933" s="29"/>
      <c r="BW933" s="29"/>
      <c r="BX933" s="29"/>
      <c r="BY933" s="29"/>
    </row>
    <row r="934" spans="46:77" x14ac:dyDescent="0.25">
      <c r="AT934" s="29"/>
      <c r="AU934" s="29"/>
      <c r="AV934" s="29"/>
      <c r="AW934" s="29"/>
      <c r="AX934" s="29"/>
      <c r="AY934" s="29"/>
      <c r="AZ934" s="29"/>
      <c r="BA934" s="29"/>
      <c r="BB934" s="29"/>
      <c r="BC934" s="29"/>
      <c r="BD934" s="29"/>
      <c r="BE934" s="29"/>
      <c r="BF934" s="29"/>
      <c r="BG934" s="29"/>
      <c r="BH934" s="29"/>
      <c r="BI934" s="36"/>
      <c r="BJ934" s="36"/>
      <c r="BK934" s="36"/>
      <c r="BL934" s="36"/>
      <c r="BM934" s="36"/>
      <c r="BN934" s="29"/>
      <c r="BO934" s="29"/>
      <c r="BP934" s="29"/>
      <c r="BQ934" s="29"/>
      <c r="BR934" s="29"/>
      <c r="BS934" s="29"/>
      <c r="BT934" s="29"/>
      <c r="BU934" s="29"/>
      <c r="BV934" s="29"/>
      <c r="BW934" s="29"/>
      <c r="BX934" s="29"/>
      <c r="BY934" s="29"/>
    </row>
    <row r="935" spans="46:77" x14ac:dyDescent="0.25">
      <c r="AT935" s="29"/>
      <c r="AU935" s="29"/>
      <c r="AV935" s="29"/>
      <c r="AW935" s="29"/>
      <c r="AX935" s="29"/>
      <c r="AY935" s="29"/>
      <c r="AZ935" s="29"/>
      <c r="BA935" s="29"/>
      <c r="BB935" s="29"/>
      <c r="BC935" s="29"/>
      <c r="BD935" s="29"/>
      <c r="BE935" s="29"/>
      <c r="BF935" s="29"/>
      <c r="BG935" s="29"/>
      <c r="BH935" s="29"/>
      <c r="BI935" s="36"/>
      <c r="BJ935" s="36"/>
      <c r="BK935" s="36"/>
      <c r="BL935" s="36"/>
      <c r="BM935" s="36"/>
      <c r="BN935" s="29"/>
      <c r="BO935" s="29"/>
      <c r="BP935" s="29"/>
      <c r="BQ935" s="29"/>
      <c r="BR935" s="29"/>
      <c r="BS935" s="29"/>
      <c r="BT935" s="29"/>
      <c r="BU935" s="29"/>
      <c r="BV935" s="29"/>
      <c r="BW935" s="29"/>
      <c r="BX935" s="29"/>
      <c r="BY935" s="29"/>
    </row>
  </sheetData>
  <dataConsolidate/>
  <mergeCells count="550">
    <mergeCell ref="AP32:AQ32"/>
    <mergeCell ref="AP109:AQ109"/>
    <mergeCell ref="AP110:AQ110"/>
    <mergeCell ref="AP111:AQ111"/>
    <mergeCell ref="AP112:AQ112"/>
    <mergeCell ref="AP117:AQ117"/>
    <mergeCell ref="AP118:AQ118"/>
    <mergeCell ref="AP88:AQ88"/>
    <mergeCell ref="AP93:AQ93"/>
    <mergeCell ref="AP94:AQ94"/>
    <mergeCell ref="AP104:AQ104"/>
    <mergeCell ref="AP105:AQ105"/>
    <mergeCell ref="AP106:AQ106"/>
    <mergeCell ref="AP107:AQ107"/>
    <mergeCell ref="AP108:AQ108"/>
    <mergeCell ref="CA85:CF85"/>
    <mergeCell ref="CA64:CF64"/>
    <mergeCell ref="CA35:CF35"/>
    <mergeCell ref="CA22:CF22"/>
    <mergeCell ref="CA4:CF4"/>
    <mergeCell ref="AP87:AQ87"/>
    <mergeCell ref="AP69:AQ69"/>
    <mergeCell ref="AP70:AQ70"/>
    <mergeCell ref="AP80:AQ80"/>
    <mergeCell ref="AP81:AQ81"/>
    <mergeCell ref="AP82:AQ82"/>
    <mergeCell ref="AP83:AQ83"/>
    <mergeCell ref="AP84:AQ84"/>
    <mergeCell ref="AP85:AQ85"/>
    <mergeCell ref="AP86:AQ86"/>
    <mergeCell ref="AU66:AV66"/>
    <mergeCell ref="AW66:AX66"/>
    <mergeCell ref="AZ66:BA66"/>
    <mergeCell ref="BC66:BC67"/>
    <mergeCell ref="BE66:BF66"/>
    <mergeCell ref="AP19:AQ19"/>
    <mergeCell ref="BI22:BM22"/>
    <mergeCell ref="BI32:BM32"/>
    <mergeCell ref="BI45:BM45"/>
    <mergeCell ref="S90:V90"/>
    <mergeCell ref="W90:Z90"/>
    <mergeCell ref="W91:Z91"/>
    <mergeCell ref="Y68:Z68"/>
    <mergeCell ref="Y94:Z94"/>
    <mergeCell ref="Y95:Z95"/>
    <mergeCell ref="Y96:Z96"/>
    <mergeCell ref="L87:N87"/>
    <mergeCell ref="R81:T81"/>
    <mergeCell ref="Y92:Z92"/>
    <mergeCell ref="Y93:Z93"/>
    <mergeCell ref="R69:T69"/>
    <mergeCell ref="N78:R78"/>
    <mergeCell ref="AZ159:BA159"/>
    <mergeCell ref="BC159:BC160"/>
    <mergeCell ref="BE159:BF159"/>
    <mergeCell ref="AU97:AV97"/>
    <mergeCell ref="AW97:AX97"/>
    <mergeCell ref="AZ97:BA97"/>
    <mergeCell ref="BC97:BC98"/>
    <mergeCell ref="BE97:BF97"/>
    <mergeCell ref="AU128:AV128"/>
    <mergeCell ref="AW128:AX128"/>
    <mergeCell ref="AZ128:BA128"/>
    <mergeCell ref="BC128:BC129"/>
    <mergeCell ref="BE128:BF128"/>
    <mergeCell ref="AU159:AV159"/>
    <mergeCell ref="AW159:AX159"/>
    <mergeCell ref="C67:F67"/>
    <mergeCell ref="G67:K67"/>
    <mergeCell ref="L67:M67"/>
    <mergeCell ref="N67:R67"/>
    <mergeCell ref="S67:V67"/>
    <mergeCell ref="W67:Z67"/>
    <mergeCell ref="AP56:AQ56"/>
    <mergeCell ref="AP57:AQ57"/>
    <mergeCell ref="AP58:AQ58"/>
    <mergeCell ref="AP59:AQ59"/>
    <mergeCell ref="AP60:AQ60"/>
    <mergeCell ref="AP61:AQ61"/>
    <mergeCell ref="AP62:AQ62"/>
    <mergeCell ref="AP63:AQ63"/>
    <mergeCell ref="AP64:AQ64"/>
    <mergeCell ref="Y57:Z57"/>
    <mergeCell ref="A61:C61"/>
    <mergeCell ref="H63:J63"/>
    <mergeCell ref="L63:N63"/>
    <mergeCell ref="D64:F64"/>
    <mergeCell ref="F58:K58"/>
    <mergeCell ref="AB56:AF57"/>
    <mergeCell ref="BE1:BF1"/>
    <mergeCell ref="AU1:AV1"/>
    <mergeCell ref="AW1:AX1"/>
    <mergeCell ref="AZ1:BA1"/>
    <mergeCell ref="Z10:AA10"/>
    <mergeCell ref="Z11:AA11"/>
    <mergeCell ref="Z12:AA12"/>
    <mergeCell ref="Z13:AA13"/>
    <mergeCell ref="Z14:AA14"/>
    <mergeCell ref="AP12:AQ12"/>
    <mergeCell ref="BC1:BC2"/>
    <mergeCell ref="AD7:AE7"/>
    <mergeCell ref="AE2:AF2"/>
    <mergeCell ref="AB2:AD2"/>
    <mergeCell ref="AF4:AF5"/>
    <mergeCell ref="AB4:AB5"/>
    <mergeCell ref="AD4:AE5"/>
    <mergeCell ref="Y7:AB7"/>
    <mergeCell ref="AF10:AF11"/>
    <mergeCell ref="X9:AF9"/>
    <mergeCell ref="W2:X2"/>
    <mergeCell ref="AP6:AQ6"/>
    <mergeCell ref="AP7:AQ7"/>
    <mergeCell ref="AP8:AQ8"/>
    <mergeCell ref="S55:V55"/>
    <mergeCell ref="P48:V50"/>
    <mergeCell ref="P60:V62"/>
    <mergeCell ref="DZ141:DZ142"/>
    <mergeCell ref="Y50:Z50"/>
    <mergeCell ref="AB50:AF51"/>
    <mergeCell ref="AB52:AF53"/>
    <mergeCell ref="W54:Z54"/>
    <mergeCell ref="W55:Z55"/>
    <mergeCell ref="S123:T123"/>
    <mergeCell ref="AB118:AF119"/>
    <mergeCell ref="S125:T125"/>
    <mergeCell ref="W125:X125"/>
    <mergeCell ref="W115:X115"/>
    <mergeCell ref="W117:X117"/>
    <mergeCell ref="W123:X123"/>
    <mergeCell ref="S121:T121"/>
    <mergeCell ref="AB122:AF123"/>
    <mergeCell ref="W111:X111"/>
    <mergeCell ref="AB120:AF121"/>
    <mergeCell ref="W119:X119"/>
    <mergeCell ref="Y98:Z98"/>
    <mergeCell ref="P87:V87"/>
    <mergeCell ref="N90:R90"/>
    <mergeCell ref="Y29:AC33"/>
    <mergeCell ref="R45:T45"/>
    <mergeCell ref="X29:X33"/>
    <mergeCell ref="AC34:AD34"/>
    <mergeCell ref="AC35:AD35"/>
    <mergeCell ref="X36:AF36"/>
    <mergeCell ref="Y45:Z45"/>
    <mergeCell ref="W42:Z42"/>
    <mergeCell ref="S44:T44"/>
    <mergeCell ref="Z34:AB34"/>
    <mergeCell ref="Z35:AB35"/>
    <mergeCell ref="AE31:AF31"/>
    <mergeCell ref="A97:C97"/>
    <mergeCell ref="DP116:DP117"/>
    <mergeCell ref="DP98:DP99"/>
    <mergeCell ref="AB58:AF59"/>
    <mergeCell ref="AB60:AF61"/>
    <mergeCell ref="AB62:AF63"/>
    <mergeCell ref="AB64:AF65"/>
    <mergeCell ref="P63:V63"/>
    <mergeCell ref="Y69:Z69"/>
    <mergeCell ref="Y70:Z70"/>
    <mergeCell ref="Y71:Z71"/>
    <mergeCell ref="Y72:Z72"/>
    <mergeCell ref="Y73:Z73"/>
    <mergeCell ref="Y74:Z74"/>
    <mergeCell ref="A73:C73"/>
    <mergeCell ref="F72:K72"/>
    <mergeCell ref="A99:C99"/>
    <mergeCell ref="P99:V99"/>
    <mergeCell ref="D99:F99"/>
    <mergeCell ref="H99:J99"/>
    <mergeCell ref="L99:N99"/>
    <mergeCell ref="D100:F100"/>
    <mergeCell ref="H100:N100"/>
    <mergeCell ref="A78:B78"/>
    <mergeCell ref="AP18:AQ18"/>
    <mergeCell ref="Y47:Z47"/>
    <mergeCell ref="AP45:AQ45"/>
    <mergeCell ref="AP46:AQ46"/>
    <mergeCell ref="AP29:AQ29"/>
    <mergeCell ref="AP30:AQ30"/>
    <mergeCell ref="AP31:AQ31"/>
    <mergeCell ref="G43:K43"/>
    <mergeCell ref="V32:V33"/>
    <mergeCell ref="L43:M43"/>
    <mergeCell ref="Y44:Z44"/>
    <mergeCell ref="O32:P33"/>
    <mergeCell ref="F33:H33"/>
    <mergeCell ref="J33:L33"/>
    <mergeCell ref="AB44:AF45"/>
    <mergeCell ref="AB46:AF47"/>
    <mergeCell ref="L42:M42"/>
    <mergeCell ref="O29:P30"/>
    <mergeCell ref="AD38:AE38"/>
    <mergeCell ref="R38:U38"/>
    <mergeCell ref="AP35:AQ35"/>
    <mergeCell ref="AP36:AQ36"/>
    <mergeCell ref="P47:T47"/>
    <mergeCell ref="O22:P23"/>
    <mergeCell ref="A48:C48"/>
    <mergeCell ref="S56:T56"/>
    <mergeCell ref="C66:F66"/>
    <mergeCell ref="G66:K66"/>
    <mergeCell ref="L66:M66"/>
    <mergeCell ref="N66:R66"/>
    <mergeCell ref="S66:V66"/>
    <mergeCell ref="R57:T57"/>
    <mergeCell ref="H64:N64"/>
    <mergeCell ref="A60:C60"/>
    <mergeCell ref="A56:C56"/>
    <mergeCell ref="C54:F54"/>
    <mergeCell ref="G54:K54"/>
    <mergeCell ref="L54:M54"/>
    <mergeCell ref="C55:F55"/>
    <mergeCell ref="G55:K55"/>
    <mergeCell ref="L55:M55"/>
    <mergeCell ref="P51:V51"/>
    <mergeCell ref="F48:K48"/>
    <mergeCell ref="A54:B54"/>
    <mergeCell ref="A63:C63"/>
    <mergeCell ref="N54:R54"/>
    <mergeCell ref="D63:F63"/>
    <mergeCell ref="N55:R55"/>
    <mergeCell ref="DZ147:DZ148"/>
    <mergeCell ref="AD32:AE32"/>
    <mergeCell ref="AD33:AE33"/>
    <mergeCell ref="AB76:AF77"/>
    <mergeCell ref="AB78:AF79"/>
    <mergeCell ref="AB70:AF71"/>
    <mergeCell ref="AB66:AF67"/>
    <mergeCell ref="AB68:AF69"/>
    <mergeCell ref="AB80:AF81"/>
    <mergeCell ref="AB82:AF83"/>
    <mergeCell ref="AB84:AF85"/>
    <mergeCell ref="AB90:AF91"/>
    <mergeCell ref="AB88:AF89"/>
    <mergeCell ref="A41:AF41"/>
    <mergeCell ref="P75:V75"/>
    <mergeCell ref="C42:F42"/>
    <mergeCell ref="C43:F43"/>
    <mergeCell ref="G42:K42"/>
    <mergeCell ref="N42:R42"/>
    <mergeCell ref="N43:R43"/>
    <mergeCell ref="S42:V42"/>
    <mergeCell ref="S43:V43"/>
    <mergeCell ref="AB48:AF49"/>
    <mergeCell ref="AB54:AF55"/>
    <mergeCell ref="O15:R16"/>
    <mergeCell ref="S15:V16"/>
    <mergeCell ref="T18:V18"/>
    <mergeCell ref="F96:K96"/>
    <mergeCell ref="D88:F88"/>
    <mergeCell ref="H88:N88"/>
    <mergeCell ref="P72:V74"/>
    <mergeCell ref="C91:F91"/>
    <mergeCell ref="G91:K91"/>
    <mergeCell ref="L91:M91"/>
    <mergeCell ref="N91:R91"/>
    <mergeCell ref="S91:V91"/>
    <mergeCell ref="P96:V98"/>
    <mergeCell ref="R93:T93"/>
    <mergeCell ref="P95:T95"/>
    <mergeCell ref="K97:M97"/>
    <mergeCell ref="C79:F79"/>
    <mergeCell ref="G79:K79"/>
    <mergeCell ref="L79:M79"/>
    <mergeCell ref="N79:R79"/>
    <mergeCell ref="S79:V79"/>
    <mergeCell ref="S78:V78"/>
    <mergeCell ref="K73:M73"/>
    <mergeCell ref="S54:V54"/>
    <mergeCell ref="V22:V23"/>
    <mergeCell ref="V29:V30"/>
    <mergeCell ref="A30:L30"/>
    <mergeCell ref="V27:V28"/>
    <mergeCell ref="A27:L28"/>
    <mergeCell ref="O27:P28"/>
    <mergeCell ref="R27:T28"/>
    <mergeCell ref="R22:T23"/>
    <mergeCell ref="K35:L35"/>
    <mergeCell ref="F34:H34"/>
    <mergeCell ref="J34:L34"/>
    <mergeCell ref="R29:T30"/>
    <mergeCell ref="V34:V35"/>
    <mergeCell ref="R34:T35"/>
    <mergeCell ref="V19:V20"/>
    <mergeCell ref="R24:T25"/>
    <mergeCell ref="V24:V25"/>
    <mergeCell ref="A17:N17"/>
    <mergeCell ref="O19:P20"/>
    <mergeCell ref="Q19:R20"/>
    <mergeCell ref="R32:T33"/>
    <mergeCell ref="A19:L19"/>
    <mergeCell ref="B1:L1"/>
    <mergeCell ref="P4:V4"/>
    <mergeCell ref="P7:Q7"/>
    <mergeCell ref="A7:N7"/>
    <mergeCell ref="T19:U20"/>
    <mergeCell ref="A9:N9"/>
    <mergeCell ref="A11:N11"/>
    <mergeCell ref="A13:N13"/>
    <mergeCell ref="A15:N15"/>
    <mergeCell ref="P9:Q9"/>
    <mergeCell ref="A22:B22"/>
    <mergeCell ref="O18:R18"/>
    <mergeCell ref="R12:V12"/>
    <mergeCell ref="R11:V11"/>
    <mergeCell ref="P11:Q11"/>
    <mergeCell ref="O24:P25"/>
    <mergeCell ref="F2:G2"/>
    <mergeCell ref="J2:K2"/>
    <mergeCell ref="N2:O2"/>
    <mergeCell ref="R2:S2"/>
    <mergeCell ref="B2:D2"/>
    <mergeCell ref="A4:N4"/>
    <mergeCell ref="T5:V5"/>
    <mergeCell ref="T6:V6"/>
    <mergeCell ref="Q6:S6"/>
    <mergeCell ref="Q5:S5"/>
    <mergeCell ref="A125:B125"/>
    <mergeCell ref="Q104:S104"/>
    <mergeCell ref="P82:T82"/>
    <mergeCell ref="P83:T83"/>
    <mergeCell ref="A95:C95"/>
    <mergeCell ref="F95:K95"/>
    <mergeCell ref="F94:K94"/>
    <mergeCell ref="C98:E98"/>
    <mergeCell ref="A92:C92"/>
    <mergeCell ref="A94:C94"/>
    <mergeCell ref="A104:C104"/>
    <mergeCell ref="A82:C82"/>
    <mergeCell ref="C86:E86"/>
    <mergeCell ref="A87:C87"/>
    <mergeCell ref="A83:C83"/>
    <mergeCell ref="A84:C84"/>
    <mergeCell ref="C103:H103"/>
    <mergeCell ref="F107:K107"/>
    <mergeCell ref="F108:K108"/>
    <mergeCell ref="A115:B115"/>
    <mergeCell ref="A117:B117"/>
    <mergeCell ref="C90:F90"/>
    <mergeCell ref="G90:K90"/>
    <mergeCell ref="L90:M90"/>
    <mergeCell ref="A123:B123"/>
    <mergeCell ref="A29:L29"/>
    <mergeCell ref="S119:T119"/>
    <mergeCell ref="R114:X114"/>
    <mergeCell ref="A68:C68"/>
    <mergeCell ref="A70:C70"/>
    <mergeCell ref="P70:T70"/>
    <mergeCell ref="F82:K82"/>
    <mergeCell ref="F83:K83"/>
    <mergeCell ref="S80:T80"/>
    <mergeCell ref="O102:P102"/>
    <mergeCell ref="P109:T109"/>
    <mergeCell ref="A96:C96"/>
    <mergeCell ref="A102:B102"/>
    <mergeCell ref="A66:B66"/>
    <mergeCell ref="U102:V102"/>
    <mergeCell ref="P59:T59"/>
    <mergeCell ref="P58:T58"/>
    <mergeCell ref="C62:E62"/>
    <mergeCell ref="A85:C85"/>
    <mergeCell ref="K85:M85"/>
    <mergeCell ref="A58:C58"/>
    <mergeCell ref="A44:C44"/>
    <mergeCell ref="A46:C46"/>
    <mergeCell ref="A121:B121"/>
    <mergeCell ref="A35:C35"/>
    <mergeCell ref="O34:P35"/>
    <mergeCell ref="A72:C72"/>
    <mergeCell ref="P84:V86"/>
    <mergeCell ref="H76:N76"/>
    <mergeCell ref="F71:K71"/>
    <mergeCell ref="P46:T46"/>
    <mergeCell ref="H51:J51"/>
    <mergeCell ref="L51:N51"/>
    <mergeCell ref="D52:F52"/>
    <mergeCell ref="D51:F51"/>
    <mergeCell ref="L75:N75"/>
    <mergeCell ref="P71:T71"/>
    <mergeCell ref="S68:T68"/>
    <mergeCell ref="H75:J75"/>
    <mergeCell ref="A47:C47"/>
    <mergeCell ref="F47:K47"/>
    <mergeCell ref="A42:B42"/>
    <mergeCell ref="A108:C108"/>
    <mergeCell ref="A107:C107"/>
    <mergeCell ref="P110:T110"/>
    <mergeCell ref="K109:M109"/>
    <mergeCell ref="D35:E35"/>
    <mergeCell ref="A119:B119"/>
    <mergeCell ref="C110:E110"/>
    <mergeCell ref="A111:C111"/>
    <mergeCell ref="A109:C109"/>
    <mergeCell ref="P106:T106"/>
    <mergeCell ref="R102:T102"/>
    <mergeCell ref="F106:K106"/>
    <mergeCell ref="L111:N111"/>
    <mergeCell ref="C102:H102"/>
    <mergeCell ref="L102:N102"/>
    <mergeCell ref="A106:C106"/>
    <mergeCell ref="N104:P104"/>
    <mergeCell ref="P111:T111"/>
    <mergeCell ref="S115:T115"/>
    <mergeCell ref="S117:T117"/>
    <mergeCell ref="C78:F78"/>
    <mergeCell ref="G78:K78"/>
    <mergeCell ref="L78:M78"/>
    <mergeCell ref="F46:K46"/>
    <mergeCell ref="S92:T92"/>
    <mergeCell ref="P94:T94"/>
    <mergeCell ref="K61:M61"/>
    <mergeCell ref="A80:C80"/>
    <mergeCell ref="A71:C71"/>
    <mergeCell ref="F70:K70"/>
    <mergeCell ref="A59:C59"/>
    <mergeCell ref="F59:K59"/>
    <mergeCell ref="A49:C49"/>
    <mergeCell ref="F60:K60"/>
    <mergeCell ref="A90:B90"/>
    <mergeCell ref="F84:K84"/>
    <mergeCell ref="D87:F87"/>
    <mergeCell ref="H87:J87"/>
    <mergeCell ref="A51:C51"/>
    <mergeCell ref="C50:E50"/>
    <mergeCell ref="D76:F76"/>
    <mergeCell ref="A75:C75"/>
    <mergeCell ref="K49:M49"/>
    <mergeCell ref="H52:N52"/>
    <mergeCell ref="D75:F75"/>
    <mergeCell ref="D112:F112"/>
    <mergeCell ref="CB40:CF40"/>
    <mergeCell ref="CB66:CF66"/>
    <mergeCell ref="CB87:CF87"/>
    <mergeCell ref="CB6:CF6"/>
    <mergeCell ref="CA7:CA8"/>
    <mergeCell ref="CB7:CB8"/>
    <mergeCell ref="CD7:CD8"/>
    <mergeCell ref="CE7:CE8"/>
    <mergeCell ref="CB24:CF24"/>
    <mergeCell ref="W110:X110"/>
    <mergeCell ref="W108:X108"/>
    <mergeCell ref="W107:X107"/>
    <mergeCell ref="P108:T108"/>
    <mergeCell ref="P107:T107"/>
    <mergeCell ref="G35:J35"/>
    <mergeCell ref="D111:F111"/>
    <mergeCell ref="H111:J111"/>
    <mergeCell ref="C74:E74"/>
    <mergeCell ref="AP40:AQ40"/>
    <mergeCell ref="AP33:AQ33"/>
    <mergeCell ref="H112:N112"/>
    <mergeCell ref="AB110:AF111"/>
    <mergeCell ref="W121:X121"/>
    <mergeCell ref="AB114:AF115"/>
    <mergeCell ref="AB124:AF125"/>
    <mergeCell ref="AB116:AF117"/>
    <mergeCell ref="AB112:AF113"/>
    <mergeCell ref="AC23:AD23"/>
    <mergeCell ref="Y48:Z48"/>
    <mergeCell ref="Y58:Z58"/>
    <mergeCell ref="Y59:Z59"/>
    <mergeCell ref="Y56:Z56"/>
    <mergeCell ref="W43:Z43"/>
    <mergeCell ref="Y46:Z46"/>
    <mergeCell ref="V38:W38"/>
    <mergeCell ref="Y38:AA38"/>
    <mergeCell ref="AB108:AF109"/>
    <mergeCell ref="AB98:AF99"/>
    <mergeCell ref="AB100:AF101"/>
    <mergeCell ref="AB102:AF103"/>
    <mergeCell ref="AB92:AF93"/>
    <mergeCell ref="AB94:AF95"/>
    <mergeCell ref="AB96:AF97"/>
    <mergeCell ref="W109:X109"/>
    <mergeCell ref="AE35:AF35"/>
    <mergeCell ref="AB42:AF43"/>
    <mergeCell ref="AC22:AD22"/>
    <mergeCell ref="Z15:AA15"/>
    <mergeCell ref="Z16:AA16"/>
    <mergeCell ref="X26:AF26"/>
    <mergeCell ref="X28:AA28"/>
    <mergeCell ref="X22:Y22"/>
    <mergeCell ref="X23:Y23"/>
    <mergeCell ref="W3:X3"/>
    <mergeCell ref="X4:AA5"/>
    <mergeCell ref="Z17:AA17"/>
    <mergeCell ref="Z19:AA19"/>
    <mergeCell ref="Z18:AA18"/>
    <mergeCell ref="Z20:AA20"/>
    <mergeCell ref="X24:Y24"/>
    <mergeCell ref="Z22:AA22"/>
    <mergeCell ref="Z23:AA23"/>
    <mergeCell ref="Z24:AA24"/>
    <mergeCell ref="AC24:AD24"/>
    <mergeCell ref="AB27:AD27"/>
    <mergeCell ref="Z27:AA27"/>
    <mergeCell ref="BI12:BM12"/>
    <mergeCell ref="EI2:EI3"/>
    <mergeCell ref="EJ2:EJ3"/>
    <mergeCell ref="EK2:EK3"/>
    <mergeCell ref="EL2:EL3"/>
    <mergeCell ref="AE34:AF34"/>
    <mergeCell ref="DW2:DW3"/>
    <mergeCell ref="DV2:DV3"/>
    <mergeCell ref="DX2:DX3"/>
    <mergeCell ref="DY2:DY3"/>
    <mergeCell ref="DZ2:DZ3"/>
    <mergeCell ref="AP34:AQ34"/>
    <mergeCell ref="AE29:AF29"/>
    <mergeCell ref="AE30:AF30"/>
    <mergeCell ref="AP13:AQ13"/>
    <mergeCell ref="AU32:AV32"/>
    <mergeCell ref="AW32:AX32"/>
    <mergeCell ref="AZ32:BA32"/>
    <mergeCell ref="BC32:BC33"/>
    <mergeCell ref="BE32:BF32"/>
    <mergeCell ref="BI2:BM2"/>
    <mergeCell ref="CC7:CC8"/>
    <mergeCell ref="DU2:DU3"/>
    <mergeCell ref="AP5:AQ5"/>
    <mergeCell ref="AP9:AQ9"/>
    <mergeCell ref="AP10:AQ10"/>
    <mergeCell ref="AP11:AQ11"/>
    <mergeCell ref="DT2:DT3"/>
    <mergeCell ref="DS2:DS3"/>
    <mergeCell ref="CV4:CW4"/>
    <mergeCell ref="CY4:CZ4"/>
    <mergeCell ref="DA4:DB4"/>
    <mergeCell ref="DC4:DD4"/>
    <mergeCell ref="CF7:CF8"/>
    <mergeCell ref="Y49:Z49"/>
    <mergeCell ref="Y61:Z61"/>
    <mergeCell ref="Y62:Z62"/>
    <mergeCell ref="Y60:Z60"/>
    <mergeCell ref="AB104:AF105"/>
    <mergeCell ref="AB106:AF107"/>
    <mergeCell ref="W66:Z66"/>
    <mergeCell ref="AB86:AF87"/>
    <mergeCell ref="AB72:AF73"/>
    <mergeCell ref="AB74:AF75"/>
    <mergeCell ref="Y81:Z81"/>
    <mergeCell ref="Y82:Z82"/>
    <mergeCell ref="Y83:Z83"/>
    <mergeCell ref="Y84:Z84"/>
    <mergeCell ref="Y85:Z85"/>
    <mergeCell ref="Y86:Z86"/>
    <mergeCell ref="W78:Z78"/>
    <mergeCell ref="W79:Z79"/>
    <mergeCell ref="Y80:Z80"/>
    <mergeCell ref="Y97:Z97"/>
  </mergeCells>
  <conditionalFormatting sqref="S15">
    <cfRule type="expression" dxfId="72" priority="70">
      <formula>$N$16&gt;=0</formula>
    </cfRule>
    <cfRule type="expression" dxfId="71" priority="71">
      <formula>$N$16&lt;0</formula>
    </cfRule>
  </conditionalFormatting>
  <conditionalFormatting sqref="O15">
    <cfRule type="expression" dxfId="70" priority="69">
      <formula>$N$16&gt;=0</formula>
    </cfRule>
  </conditionalFormatting>
  <conditionalFormatting sqref="V34">
    <cfRule type="expression" dxfId="69" priority="62">
      <formula>$V$34="DEAD"</formula>
    </cfRule>
    <cfRule type="expression" dxfId="68" priority="63">
      <formula>AND($V$34&lt;0,$V$34&gt;=-1*$B$10)</formula>
    </cfRule>
    <cfRule type="expression" dxfId="67" priority="64">
      <formula>AND($V$34&lt;1/5*$Q$19,$V$34&gt;=0)</formula>
    </cfRule>
    <cfRule type="expression" dxfId="66" priority="65">
      <formula>AND($V$34&lt;2/5*$Q$19,$V$34&gt;=1/5*$Q$19)</formula>
    </cfRule>
    <cfRule type="expression" dxfId="65" priority="66">
      <formula>AND($V$34&lt;3/5*$Q$19,$V$34&gt;=2/5*$Q$19)</formula>
    </cfRule>
    <cfRule type="expression" dxfId="64" priority="67">
      <formula>AND($V$34&lt;$Q$19*4/5,$V$34&gt;=3/5*$Q$19)</formula>
    </cfRule>
    <cfRule type="expression" dxfId="63" priority="68">
      <formula>$V$34&gt;=4/5*$Q$19</formula>
    </cfRule>
  </conditionalFormatting>
  <conditionalFormatting sqref="AE2">
    <cfRule type="expression" dxfId="62" priority="39">
      <formula>$AE$2="Overload"</formula>
    </cfRule>
    <cfRule type="expression" dxfId="61" priority="40">
      <formula>$AE$2="Heavy"</formula>
    </cfRule>
    <cfRule type="expression" dxfId="60" priority="41">
      <formula>$AE$2="Medium"</formula>
    </cfRule>
    <cfRule type="expression" dxfId="59" priority="42">
      <formula>$AE$2="Light"</formula>
    </cfRule>
  </conditionalFormatting>
  <conditionalFormatting sqref="V24">
    <cfRule type="expression" dxfId="58" priority="4">
      <formula>$V$24="GONE"</formula>
    </cfRule>
    <cfRule type="expression" dxfId="57" priority="6">
      <formula>AND($V$24&lt;1/5*$V$19,$V$24&gt;=0)</formula>
    </cfRule>
    <cfRule type="expression" dxfId="56" priority="7">
      <formula>AND($V$24&lt;2/5*$V$19,$V$24&gt;=1/5*$V$19)</formula>
    </cfRule>
    <cfRule type="expression" dxfId="55" priority="8">
      <formula>AND($V$24&lt;3/5*$V$19,$V$24&gt;=2/5*$V$19)</formula>
    </cfRule>
    <cfRule type="expression" dxfId="54" priority="9">
      <formula>AND($V$24&lt;$V$19*4/5,$V$24&gt;=3/5*$V$19)</formula>
    </cfRule>
    <cfRule type="expression" dxfId="53" priority="10">
      <formula>$V$24&gt;=4/5*$V$19</formula>
    </cfRule>
  </conditionalFormatting>
  <conditionalFormatting sqref="V29">
    <cfRule type="expression" dxfId="52" priority="337">
      <formula>$V$29="GONE"</formula>
    </cfRule>
    <cfRule type="expression" dxfId="51" priority="338">
      <formula>AND($V$29&lt;1/5*$Z$23,$V$29&gt;0)</formula>
    </cfRule>
    <cfRule type="expression" dxfId="50" priority="339">
      <formula>AND($V$29&lt;2/5*$Z$23,$V$29&gt;=1/5*$Z$23)</formula>
    </cfRule>
    <cfRule type="expression" dxfId="49" priority="340">
      <formula>AND($V$29&lt;3/5*$Z$23,$V$29&gt;=2/5*$Z$23)</formula>
    </cfRule>
    <cfRule type="expression" dxfId="48" priority="341">
      <formula>AND($V$29&lt;$Z$23*4/5,$V$29&gt;=3/5*$Z$23)</formula>
    </cfRule>
    <cfRule type="expression" dxfId="47" priority="342">
      <formula>$V$29&gt;=4/5*$Z$23</formula>
    </cfRule>
  </conditionalFormatting>
  <dataValidations count="27">
    <dataValidation type="list" allowBlank="1" showInputMessage="1" showErrorMessage="1" sqref="Y27" xr:uid="{00000000-0002-0000-0000-000000000000}">
      <formula1>$EA$64:$EA$66</formula1>
    </dataValidation>
    <dataValidation type="list" allowBlank="1" showInputMessage="1" showErrorMessage="1" sqref="C102:H102" xr:uid="{00000000-0002-0000-0000-000001000000}">
      <formula1>$DF$100:$DF$112</formula1>
    </dataValidation>
    <dataValidation type="list" allowBlank="1" showInputMessage="1" showErrorMessage="1" sqref="L78:M78 L66:M66 L54:M54 L42:M42 L90:M90" xr:uid="{00000000-0002-0000-0000-000002000000}">
      <formula1>$CA$5:$CF$5</formula1>
    </dataValidation>
    <dataValidation type="list" allowBlank="1" showInputMessage="1" showErrorMessage="1" sqref="AF7" xr:uid="{00000000-0002-0000-0000-000003000000}">
      <formula1>$AJ$7:$AJ$26</formula1>
    </dataValidation>
    <dataValidation type="list" allowBlank="1" showInputMessage="1" showErrorMessage="1" sqref="B2:D2" xr:uid="{00000000-0002-0000-0000-000004000000}">
      <formula1>$AI$25:$AI$33</formula1>
    </dataValidation>
    <dataValidation type="list" allowBlank="1" showInputMessage="1" showErrorMessage="1" sqref="AF27" xr:uid="{00000000-0002-0000-0000-000005000000}">
      <formula1>$EA$67:$EA$72</formula1>
    </dataValidation>
    <dataValidation type="list" allowBlank="1" showInputMessage="1" showErrorMessage="1" sqref="B1:L1" xr:uid="{00000000-0002-0000-0000-000006000000}">
      <formula1>$AI$42:$AI$53</formula1>
    </dataValidation>
    <dataValidation type="list" allowBlank="1" showInputMessage="1" showErrorMessage="1" sqref="Y7" xr:uid="{00000000-0002-0000-0000-000007000000}">
      <formula1>$AH$9:$AH$29</formula1>
    </dataValidation>
    <dataValidation type="list" allowBlank="1" showInputMessage="1" showErrorMessage="1" sqref="C42:F42 C54:F54 C66:F66 C78:F78 C90:F90" xr:uid="{00000000-0002-0000-0000-000008000000}">
      <formula1>$AH$1:$AH$7</formula1>
    </dataValidation>
    <dataValidation type="list" allowBlank="1" showInputMessage="1" showErrorMessage="1" sqref="G42:K42" xr:uid="{00000000-0002-0000-0000-000009000000}">
      <formula1>$AM$3:$AM$25</formula1>
    </dataValidation>
    <dataValidation type="list" allowBlank="1" showInputMessage="1" showErrorMessage="1" sqref="G66:K66" xr:uid="{00000000-0002-0000-0000-00000A000000}">
      <formula1>$AM$58:$AM$80</formula1>
    </dataValidation>
    <dataValidation type="list" allowBlank="1" showInputMessage="1" showErrorMessage="1" sqref="G78:K78" xr:uid="{00000000-0002-0000-0000-00000B000000}">
      <formula1>$AM$84:$AM$106</formula1>
    </dataValidation>
    <dataValidation type="list" allowBlank="1" showInputMessage="1" showErrorMessage="1" sqref="G90:K90" xr:uid="{00000000-0002-0000-0000-00000C000000}">
      <formula1>$AM$110:$AM$132</formula1>
    </dataValidation>
    <dataValidation type="list" allowBlank="1" showInputMessage="1" showErrorMessage="1" sqref="AB27:AD27" xr:uid="{00000000-0002-0000-0000-00000D000000}">
      <formula1>$ET$5:$ET$29</formula1>
    </dataValidation>
    <dataValidation type="list" allowBlank="1" showInputMessage="1" showErrorMessage="1" sqref="Z34" xr:uid="{00000000-0002-0000-0000-00000E000000}">
      <formula1>$DW$140:$DW$149</formula1>
    </dataValidation>
    <dataValidation type="list" allowBlank="1" showInputMessage="1" showErrorMessage="1" sqref="AC34:AD34" xr:uid="{00000000-0002-0000-0000-00000F000000}">
      <formula1>$DW$151:$DW$155</formula1>
    </dataValidation>
    <dataValidation type="list" allowBlank="1" showInputMessage="1" showErrorMessage="1" sqref="AE34:AF34" xr:uid="{00000000-0002-0000-0000-000010000000}">
      <formula1>$DW$157:$DW$160</formula1>
    </dataValidation>
    <dataValidation type="list" allowBlank="1" showInputMessage="1" showErrorMessage="1" sqref="Z35" xr:uid="{00000000-0002-0000-0000-000011000000}">
      <formula1>$DW$162:$DW$165</formula1>
    </dataValidation>
    <dataValidation type="list" allowBlank="1" showInputMessage="1" showErrorMessage="1" sqref="AC35:AD35" xr:uid="{00000000-0002-0000-0000-000012000000}">
      <formula1>$DW$167:$DW$170</formula1>
    </dataValidation>
    <dataValidation type="list" allowBlank="1" showInputMessage="1" showErrorMessage="1" sqref="AE35:AF35" xr:uid="{00000000-0002-0000-0000-000013000000}">
      <formula1>$DW$172:$DW$176</formula1>
    </dataValidation>
    <dataValidation type="list" allowBlank="1" showInputMessage="1" showErrorMessage="1" sqref="AE29:AF31" xr:uid="{00000000-0002-0000-0000-000014000000}">
      <formula1>$DX$95:$DX$128</formula1>
    </dataValidation>
    <dataValidation type="list" allowBlank="1" showInputMessage="1" showErrorMessage="1" sqref="G54:K54" xr:uid="{00000000-0002-0000-0000-000015000000}">
      <formula1>$AM$29:$AM$51</formula1>
    </dataValidation>
    <dataValidation type="list" allowBlank="1" showInputMessage="1" showErrorMessage="1" sqref="N42:Z42" xr:uid="{00000000-0002-0000-0000-000016000000}">
      <formula1>$CN$5:$CN$53</formula1>
    </dataValidation>
    <dataValidation type="list" allowBlank="1" showInputMessage="1" showErrorMessage="1" sqref="N54:Z54" xr:uid="{00000000-0002-0000-0000-000017000000}">
      <formula1>$CO$5:$CO$53</formula1>
    </dataValidation>
    <dataValidation type="list" allowBlank="1" showInputMessage="1" showErrorMessage="1" sqref="N66:Z66" xr:uid="{00000000-0002-0000-0000-000018000000}">
      <formula1>$CP$5:$CP$53</formula1>
    </dataValidation>
    <dataValidation type="list" allowBlank="1" showInputMessage="1" showErrorMessage="1" sqref="N78:Z78" xr:uid="{00000000-0002-0000-0000-000019000000}">
      <formula1>$CQ$5:$CQ$53</formula1>
    </dataValidation>
    <dataValidation type="list" allowBlank="1" showInputMessage="1" showErrorMessage="1" sqref="N90:Z90" xr:uid="{00000000-0002-0000-0000-00001A000000}">
      <formula1>$CR$5:$CR$53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100"/>
  <sheetViews>
    <sheetView zoomScale="120" zoomScaleNormal="120" workbookViewId="0">
      <selection activeCell="P19" sqref="P19"/>
    </sheetView>
  </sheetViews>
  <sheetFormatPr defaultRowHeight="15" x14ac:dyDescent="0.25"/>
  <cols>
    <col min="1" max="1" width="9.140625" style="8"/>
    <col min="2" max="2" width="9.140625" style="8" customWidth="1"/>
    <col min="3" max="3" width="9.140625" style="8"/>
    <col min="4" max="4" width="9.5703125" style="8" customWidth="1"/>
    <col min="5" max="10" width="9.140625" style="8"/>
    <col min="11" max="11" width="7.7109375" style="8" customWidth="1"/>
    <col min="12" max="14" width="9.140625" style="8"/>
    <col min="15" max="15" width="10.7109375" style="8" customWidth="1"/>
    <col min="16" max="17" width="9.140625" style="8"/>
    <col min="18" max="18" width="7.5703125" style="8" customWidth="1"/>
    <col min="19" max="16384" width="9.140625" style="8"/>
  </cols>
  <sheetData>
    <row r="1" spans="1:43" ht="20.25" x14ac:dyDescent="0.25">
      <c r="A1" s="754" t="s">
        <v>1758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</row>
    <row r="2" spans="1:43" s="461" customFormat="1" ht="12.7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</row>
    <row r="3" spans="1:43" s="461" customFormat="1" ht="12.75" x14ac:dyDescent="0.2">
      <c r="A3" s="555" t="s">
        <v>1761</v>
      </c>
      <c r="B3" s="555"/>
      <c r="C3" s="555"/>
      <c r="D3" s="555"/>
      <c r="E3" s="555"/>
      <c r="F3" s="748"/>
      <c r="G3" s="749"/>
      <c r="H3" s="24"/>
      <c r="I3" s="555" t="s">
        <v>1759</v>
      </c>
      <c r="J3" s="555"/>
      <c r="K3" s="751"/>
      <c r="L3" s="752"/>
      <c r="M3" s="752"/>
      <c r="N3" s="753"/>
      <c r="P3" s="555" t="s">
        <v>1762</v>
      </c>
      <c r="Q3" s="555"/>
      <c r="R3" s="555"/>
      <c r="S3" s="751"/>
      <c r="T3" s="752"/>
      <c r="U3" s="752"/>
      <c r="V3" s="753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</row>
    <row r="4" spans="1:43" s="461" customFormat="1" ht="12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</row>
    <row r="5" spans="1:43" s="461" customFormat="1" ht="12.75" x14ac:dyDescent="0.2">
      <c r="A5" s="554" t="s">
        <v>1763</v>
      </c>
      <c r="B5" s="554"/>
      <c r="C5" s="219"/>
      <c r="D5" s="24"/>
      <c r="E5" s="554" t="s">
        <v>1764</v>
      </c>
      <c r="F5" s="554"/>
      <c r="G5" s="748"/>
      <c r="H5" s="750"/>
      <c r="I5" s="750"/>
      <c r="J5" s="750"/>
      <c r="K5" s="750"/>
      <c r="L5" s="750"/>
      <c r="M5" s="750"/>
      <c r="N5" s="750"/>
      <c r="O5" s="750"/>
      <c r="P5" s="750"/>
      <c r="Q5" s="750"/>
      <c r="R5" s="750"/>
      <c r="S5" s="750"/>
      <c r="T5" s="750"/>
      <c r="U5" s="750"/>
      <c r="V5" s="749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</row>
    <row r="6" spans="1:43" s="461" customFormat="1" ht="12.75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spans="1:43" s="461" customFormat="1" ht="12.75" x14ac:dyDescent="0.2">
      <c r="A7" s="555" t="s">
        <v>40</v>
      </c>
      <c r="B7" s="555"/>
      <c r="C7" s="555"/>
      <c r="D7" s="555"/>
      <c r="E7" s="555"/>
      <c r="F7" s="24"/>
      <c r="G7" s="555" t="s">
        <v>1773</v>
      </c>
      <c r="H7" s="555"/>
      <c r="I7" s="555"/>
      <c r="J7" s="555"/>
      <c r="K7" s="24"/>
      <c r="L7" s="555" t="s">
        <v>1775</v>
      </c>
      <c r="M7" s="555"/>
      <c r="N7" s="555"/>
      <c r="O7" s="555"/>
      <c r="P7" s="555"/>
      <c r="Q7" s="555"/>
      <c r="R7" s="24"/>
      <c r="S7" s="554" t="s">
        <v>1781</v>
      </c>
      <c r="T7" s="554"/>
      <c r="U7" s="734"/>
      <c r="V7" s="73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</row>
    <row r="8" spans="1:43" s="461" customFormat="1" ht="12.75" x14ac:dyDescent="0.2">
      <c r="A8" s="745" t="s">
        <v>1765</v>
      </c>
      <c r="B8" s="745"/>
      <c r="C8" s="463"/>
      <c r="D8" s="462" t="s">
        <v>1766</v>
      </c>
      <c r="E8" s="463"/>
      <c r="F8" s="24"/>
      <c r="G8" s="745" t="s">
        <v>1760</v>
      </c>
      <c r="H8" s="745"/>
      <c r="I8" s="744"/>
      <c r="J8" s="744"/>
      <c r="K8" s="24"/>
      <c r="L8" s="740" t="s">
        <v>1777</v>
      </c>
      <c r="M8" s="741"/>
      <c r="N8" s="744"/>
      <c r="O8" s="744"/>
      <c r="P8" s="744"/>
      <c r="Q8" s="74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</row>
    <row r="9" spans="1:43" s="461" customFormat="1" ht="12.75" x14ac:dyDescent="0.2">
      <c r="A9" s="746" t="s">
        <v>1767</v>
      </c>
      <c r="B9" s="747"/>
      <c r="C9" s="463"/>
      <c r="D9" s="462" t="s">
        <v>1766</v>
      </c>
      <c r="E9" s="463"/>
      <c r="F9" s="24"/>
      <c r="G9" s="746" t="s">
        <v>1770</v>
      </c>
      <c r="H9" s="747"/>
      <c r="I9" s="744"/>
      <c r="J9" s="744"/>
      <c r="K9" s="24"/>
      <c r="L9" s="740" t="s">
        <v>1776</v>
      </c>
      <c r="M9" s="741"/>
      <c r="N9" s="464"/>
      <c r="O9" s="742" t="s">
        <v>1780</v>
      </c>
      <c r="P9" s="744"/>
      <c r="Q9" s="744"/>
      <c r="R9" s="24"/>
      <c r="S9" s="554" t="s">
        <v>1782</v>
      </c>
      <c r="T9" s="554"/>
      <c r="U9" s="734"/>
      <c r="V9" s="73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</row>
    <row r="10" spans="1:43" s="461" customFormat="1" ht="12.75" x14ac:dyDescent="0.2">
      <c r="A10" s="746" t="s">
        <v>1768</v>
      </c>
      <c r="B10" s="747"/>
      <c r="C10" s="463"/>
      <c r="D10" s="24"/>
      <c r="E10" s="24"/>
      <c r="F10" s="24"/>
      <c r="G10" s="746" t="s">
        <v>1771</v>
      </c>
      <c r="H10" s="747"/>
      <c r="I10" s="744"/>
      <c r="J10" s="744"/>
      <c r="K10" s="24"/>
      <c r="L10" s="740" t="s">
        <v>1778</v>
      </c>
      <c r="M10" s="741"/>
      <c r="N10" s="219"/>
      <c r="O10" s="743"/>
      <c r="P10" s="744"/>
      <c r="Q10" s="74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</row>
    <row r="11" spans="1:43" s="461" customFormat="1" ht="12.75" x14ac:dyDescent="0.2">
      <c r="A11" s="746" t="s">
        <v>1769</v>
      </c>
      <c r="B11" s="747"/>
      <c r="C11" s="463"/>
      <c r="D11" s="24"/>
      <c r="E11" s="24"/>
      <c r="F11" s="24"/>
      <c r="G11" s="746" t="s">
        <v>1772</v>
      </c>
      <c r="H11" s="747"/>
      <c r="I11" s="744"/>
      <c r="J11" s="744"/>
      <c r="K11" s="24"/>
      <c r="L11" s="740" t="s">
        <v>1779</v>
      </c>
      <c r="M11" s="741"/>
      <c r="N11" s="219"/>
      <c r="O11" s="743"/>
      <c r="P11" s="744"/>
      <c r="Q11" s="744"/>
      <c r="R11" s="24"/>
      <c r="S11" s="554" t="s">
        <v>1783</v>
      </c>
      <c r="T11" s="554"/>
      <c r="U11" s="734"/>
      <c r="V11" s="73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</row>
    <row r="12" spans="1:43" s="461" customFormat="1" ht="12.75" x14ac:dyDescent="0.2">
      <c r="A12" s="24"/>
      <c r="B12" s="24"/>
      <c r="C12" s="24"/>
      <c r="D12" s="24"/>
      <c r="E12" s="24"/>
      <c r="F12" s="24"/>
      <c r="G12" s="740" t="s">
        <v>1774</v>
      </c>
      <c r="H12" s="741"/>
      <c r="I12" s="744"/>
      <c r="J12" s="744"/>
      <c r="K12" s="24"/>
      <c r="L12" s="740" t="s">
        <v>1708</v>
      </c>
      <c r="M12" s="741"/>
      <c r="N12" s="219"/>
      <c r="O12" s="743"/>
      <c r="P12" s="744"/>
      <c r="Q12" s="74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</row>
    <row r="13" spans="1:43" s="461" customFormat="1" ht="12.75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</row>
    <row r="14" spans="1:43" s="461" customFormat="1" ht="12.75" customHeight="1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</row>
    <row r="15" spans="1:43" s="461" customFormat="1" ht="12.75" customHeight="1" x14ac:dyDescent="0.2">
      <c r="A15" s="735" t="s">
        <v>1784</v>
      </c>
      <c r="B15" s="735"/>
      <c r="C15" s="735"/>
      <c r="D15" s="735"/>
      <c r="E15" s="735"/>
      <c r="F15" s="24"/>
      <c r="G15" s="555" t="s">
        <v>1786</v>
      </c>
      <c r="H15" s="555"/>
      <c r="I15" s="555"/>
      <c r="J15" s="24"/>
      <c r="K15" s="735" t="s">
        <v>1270</v>
      </c>
      <c r="L15" s="735"/>
      <c r="M15" s="735"/>
      <c r="N15" s="735"/>
      <c r="O15" s="735"/>
      <c r="P15" s="735"/>
      <c r="Q15" s="735"/>
      <c r="R15" s="735"/>
      <c r="S15" s="735"/>
      <c r="T15" s="735"/>
      <c r="U15" s="735"/>
      <c r="V15" s="735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</row>
    <row r="16" spans="1:43" s="461" customFormat="1" ht="12.75" x14ac:dyDescent="0.2">
      <c r="A16" s="530"/>
      <c r="B16" s="530"/>
      <c r="C16" s="530"/>
      <c r="D16" s="530"/>
      <c r="E16" s="530"/>
      <c r="F16" s="24"/>
      <c r="G16" s="745" t="s">
        <v>1787</v>
      </c>
      <c r="H16" s="745"/>
      <c r="I16" s="463"/>
      <c r="J16" s="24"/>
      <c r="K16" s="530"/>
      <c r="L16" s="530"/>
      <c r="M16" s="530"/>
      <c r="N16" s="530"/>
      <c r="O16" s="530"/>
      <c r="P16" s="530"/>
      <c r="Q16" s="530"/>
      <c r="R16" s="530"/>
      <c r="S16" s="530"/>
      <c r="T16" s="530"/>
      <c r="U16" s="530"/>
      <c r="V16" s="530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</row>
    <row r="17" spans="1:43" s="461" customFormat="1" ht="12.75" customHeight="1" x14ac:dyDescent="0.2">
      <c r="A17" s="512"/>
      <c r="B17" s="513"/>
      <c r="C17" s="513"/>
      <c r="D17" s="513"/>
      <c r="E17" s="514"/>
      <c r="F17" s="24"/>
      <c r="G17" s="745" t="s">
        <v>1788</v>
      </c>
      <c r="H17" s="745"/>
      <c r="I17" s="463"/>
      <c r="J17" s="24"/>
      <c r="K17" s="530"/>
      <c r="L17" s="530"/>
      <c r="M17" s="530"/>
      <c r="N17" s="530"/>
      <c r="O17" s="530"/>
      <c r="P17" s="530"/>
      <c r="Q17" s="530"/>
      <c r="R17" s="530"/>
      <c r="S17" s="530"/>
      <c r="T17" s="530"/>
      <c r="U17" s="530"/>
      <c r="V17" s="530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43" s="461" customFormat="1" ht="12.75" customHeight="1" x14ac:dyDescent="0.2">
      <c r="A18" s="745" t="s">
        <v>1785</v>
      </c>
      <c r="B18" s="745"/>
      <c r="C18" s="745"/>
      <c r="D18" s="745"/>
      <c r="E18" s="341"/>
      <c r="F18" s="24"/>
      <c r="G18" s="745" t="s">
        <v>1789</v>
      </c>
      <c r="H18" s="745"/>
      <c r="I18" s="463"/>
      <c r="J18" s="24"/>
      <c r="K18" s="530"/>
      <c r="L18" s="530"/>
      <c r="M18" s="530"/>
      <c r="N18" s="530"/>
      <c r="O18" s="530"/>
      <c r="P18" s="530"/>
      <c r="Q18" s="530"/>
      <c r="R18" s="530"/>
      <c r="S18" s="530"/>
      <c r="T18" s="530"/>
      <c r="U18" s="530"/>
      <c r="V18" s="530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</row>
    <row r="19" spans="1:43" s="461" customFormat="1" ht="12.7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</row>
    <row r="20" spans="1:43" s="461" customFormat="1" ht="12.7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</row>
    <row r="21" spans="1:43" s="461" customFormat="1" ht="12.75" customHeight="1" x14ac:dyDescent="0.2">
      <c r="A21" s="737" t="s">
        <v>1790</v>
      </c>
      <c r="B21" s="738"/>
      <c r="C21" s="739"/>
      <c r="D21" s="24"/>
      <c r="E21" s="737" t="s">
        <v>1791</v>
      </c>
      <c r="F21" s="738"/>
      <c r="G21" s="739"/>
      <c r="H21" s="24"/>
      <c r="I21" s="737" t="s">
        <v>1792</v>
      </c>
      <c r="J21" s="738"/>
      <c r="K21" s="739"/>
      <c r="L21" s="24"/>
      <c r="M21" s="737" t="s">
        <v>1793</v>
      </c>
      <c r="N21" s="738"/>
      <c r="O21" s="739"/>
      <c r="P21" s="24"/>
      <c r="Q21" s="737" t="s">
        <v>1794</v>
      </c>
      <c r="R21" s="738"/>
      <c r="S21" s="739"/>
      <c r="T21" s="24"/>
      <c r="U21" s="735" t="s">
        <v>1795</v>
      </c>
      <c r="V21" s="735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</row>
    <row r="22" spans="1:43" s="461" customFormat="1" ht="12.75" x14ac:dyDescent="0.2">
      <c r="A22" s="734"/>
      <c r="B22" s="734"/>
      <c r="C22" s="734"/>
      <c r="D22" s="24"/>
      <c r="E22" s="734"/>
      <c r="F22" s="734"/>
      <c r="G22" s="734"/>
      <c r="H22" s="24"/>
      <c r="I22" s="734"/>
      <c r="J22" s="734"/>
      <c r="K22" s="734"/>
      <c r="L22" s="24"/>
      <c r="M22" s="734"/>
      <c r="N22" s="734"/>
      <c r="O22" s="734"/>
      <c r="P22" s="24"/>
      <c r="Q22" s="734"/>
      <c r="R22" s="734"/>
      <c r="S22" s="734"/>
      <c r="T22" s="24"/>
      <c r="U22" s="736"/>
      <c r="V22" s="736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</row>
    <row r="23" spans="1:43" s="461" customFormat="1" ht="12.75" customHeight="1" x14ac:dyDescent="0.2">
      <c r="A23" s="734"/>
      <c r="B23" s="734"/>
      <c r="C23" s="734"/>
      <c r="D23" s="24"/>
      <c r="E23" s="734"/>
      <c r="F23" s="734"/>
      <c r="G23" s="734"/>
      <c r="H23" s="24"/>
      <c r="I23" s="734"/>
      <c r="J23" s="734"/>
      <c r="K23" s="734"/>
      <c r="L23" s="24"/>
      <c r="M23" s="734"/>
      <c r="N23" s="734"/>
      <c r="O23" s="734"/>
      <c r="P23" s="24"/>
      <c r="Q23" s="734"/>
      <c r="R23" s="734"/>
      <c r="S23" s="734"/>
      <c r="T23" s="24"/>
      <c r="U23" s="736"/>
      <c r="V23" s="736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43" s="461" customFormat="1" ht="12.75" x14ac:dyDescent="0.2">
      <c r="A24" s="734"/>
      <c r="B24" s="734"/>
      <c r="C24" s="734"/>
      <c r="D24" s="24"/>
      <c r="E24" s="734"/>
      <c r="F24" s="734"/>
      <c r="G24" s="734"/>
      <c r="H24" s="24"/>
      <c r="I24" s="734"/>
      <c r="J24" s="734"/>
      <c r="K24" s="734"/>
      <c r="L24" s="24"/>
      <c r="M24" s="734"/>
      <c r="N24" s="734"/>
      <c r="O24" s="734"/>
      <c r="P24" s="24"/>
      <c r="Q24" s="734"/>
      <c r="R24" s="734"/>
      <c r="S24" s="734"/>
      <c r="T24" s="24"/>
      <c r="U24" s="736"/>
      <c r="V24" s="736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</row>
    <row r="25" spans="1:43" s="461" customFormat="1" ht="12.75" x14ac:dyDescent="0.2">
      <c r="A25" s="734"/>
      <c r="B25" s="734"/>
      <c r="C25" s="734"/>
      <c r="D25" s="24"/>
      <c r="E25" s="734"/>
      <c r="F25" s="734"/>
      <c r="G25" s="734"/>
      <c r="H25" s="24"/>
      <c r="I25" s="734"/>
      <c r="J25" s="734"/>
      <c r="K25" s="734"/>
      <c r="L25" s="24"/>
      <c r="M25" s="734"/>
      <c r="N25" s="734"/>
      <c r="O25" s="734"/>
      <c r="P25" s="24"/>
      <c r="Q25" s="734"/>
      <c r="R25" s="734"/>
      <c r="S25" s="73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</row>
    <row r="26" spans="1:43" s="461" customFormat="1" ht="12.75" x14ac:dyDescent="0.2">
      <c r="A26" s="734"/>
      <c r="B26" s="734"/>
      <c r="C26" s="734"/>
      <c r="D26" s="24"/>
      <c r="E26" s="734"/>
      <c r="F26" s="734"/>
      <c r="G26" s="734"/>
      <c r="H26" s="24"/>
      <c r="I26" s="734"/>
      <c r="J26" s="734"/>
      <c r="K26" s="734"/>
      <c r="L26" s="24"/>
      <c r="M26" s="734"/>
      <c r="N26" s="734"/>
      <c r="O26" s="734"/>
      <c r="P26" s="24"/>
      <c r="Q26" s="734"/>
      <c r="R26" s="734"/>
      <c r="S26" s="734"/>
      <c r="T26" s="24"/>
      <c r="U26" s="735" t="s">
        <v>1796</v>
      </c>
      <c r="V26" s="735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</row>
    <row r="27" spans="1:43" s="461" customFormat="1" ht="12.75" x14ac:dyDescent="0.2">
      <c r="A27" s="734"/>
      <c r="B27" s="734"/>
      <c r="C27" s="734"/>
      <c r="D27" s="24"/>
      <c r="E27" s="734"/>
      <c r="F27" s="734"/>
      <c r="G27" s="734"/>
      <c r="H27" s="24"/>
      <c r="I27" s="734"/>
      <c r="J27" s="734"/>
      <c r="K27" s="734"/>
      <c r="L27" s="24"/>
      <c r="M27" s="734"/>
      <c r="N27" s="734"/>
      <c r="O27" s="734"/>
      <c r="P27" s="24"/>
      <c r="Q27" s="734"/>
      <c r="R27" s="734"/>
      <c r="S27" s="734"/>
      <c r="T27" s="24"/>
      <c r="U27" s="736"/>
      <c r="V27" s="736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</row>
    <row r="28" spans="1:43" s="461" customFormat="1" ht="12.75" x14ac:dyDescent="0.2">
      <c r="A28" s="734"/>
      <c r="B28" s="734"/>
      <c r="C28" s="734"/>
      <c r="D28" s="24"/>
      <c r="E28" s="734"/>
      <c r="F28" s="734"/>
      <c r="G28" s="734"/>
      <c r="H28" s="24"/>
      <c r="I28" s="734"/>
      <c r="J28" s="734"/>
      <c r="K28" s="734"/>
      <c r="L28" s="24"/>
      <c r="M28" s="734"/>
      <c r="N28" s="734"/>
      <c r="O28" s="734"/>
      <c r="P28" s="24"/>
      <c r="Q28" s="734"/>
      <c r="R28" s="734"/>
      <c r="S28" s="734"/>
      <c r="T28" s="24"/>
      <c r="U28" s="736"/>
      <c r="V28" s="736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</row>
    <row r="29" spans="1:43" s="461" customFormat="1" ht="12.75" x14ac:dyDescent="0.2">
      <c r="A29" s="734"/>
      <c r="B29" s="734"/>
      <c r="C29" s="734"/>
      <c r="D29" s="24"/>
      <c r="E29" s="734"/>
      <c r="F29" s="734"/>
      <c r="G29" s="734"/>
      <c r="H29" s="24"/>
      <c r="I29" s="734"/>
      <c r="J29" s="734"/>
      <c r="K29" s="734"/>
      <c r="L29" s="24"/>
      <c r="M29" s="734"/>
      <c r="N29" s="734"/>
      <c r="O29" s="734"/>
      <c r="P29" s="24"/>
      <c r="Q29" s="734"/>
      <c r="R29" s="734"/>
      <c r="S29" s="734"/>
      <c r="T29" s="24"/>
      <c r="U29" s="736"/>
      <c r="V29" s="736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</row>
    <row r="30" spans="1:43" s="461" customFormat="1" ht="12.7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</row>
    <row r="31" spans="1:43" s="461" customFormat="1" ht="12.75" customHeight="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</row>
    <row r="32" spans="1:43" s="461" customFormat="1" ht="12.75" customHeight="1" x14ac:dyDescent="0.2">
      <c r="A32" s="735" t="s">
        <v>163</v>
      </c>
      <c r="B32" s="735"/>
      <c r="C32" s="735"/>
      <c r="D32" s="735"/>
      <c r="E32" s="735"/>
      <c r="F32" s="735"/>
      <c r="G32" s="735"/>
      <c r="H32" s="735"/>
      <c r="I32" s="735"/>
      <c r="J32" s="735"/>
      <c r="K32" s="735"/>
      <c r="L32" s="735"/>
      <c r="M32" s="735"/>
      <c r="N32" s="735"/>
      <c r="O32" s="735"/>
      <c r="P32" s="735"/>
      <c r="Q32" s="735"/>
      <c r="R32" s="735"/>
      <c r="S32" s="735"/>
      <c r="T32" s="735"/>
      <c r="U32" s="735"/>
      <c r="V32" s="735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</row>
    <row r="33" spans="1:43" s="461" customFormat="1" ht="12.75" x14ac:dyDescent="0.2">
      <c r="A33" s="734"/>
      <c r="B33" s="734"/>
      <c r="C33" s="734"/>
      <c r="D33" s="734"/>
      <c r="E33" s="734"/>
      <c r="F33" s="734"/>
      <c r="G33" s="734"/>
      <c r="H33" s="734"/>
      <c r="I33" s="734"/>
      <c r="J33" s="734"/>
      <c r="K33" s="734"/>
      <c r="L33" s="734"/>
      <c r="M33" s="734"/>
      <c r="N33" s="734"/>
      <c r="O33" s="734"/>
      <c r="P33" s="734"/>
      <c r="Q33" s="734"/>
      <c r="R33" s="734"/>
      <c r="S33" s="734"/>
      <c r="T33" s="734"/>
      <c r="U33" s="734"/>
      <c r="V33" s="73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</row>
    <row r="34" spans="1:43" s="461" customFormat="1" ht="12.75" x14ac:dyDescent="0.2">
      <c r="A34" s="734"/>
      <c r="B34" s="734"/>
      <c r="C34" s="734"/>
      <c r="D34" s="734"/>
      <c r="E34" s="734"/>
      <c r="F34" s="734"/>
      <c r="G34" s="734"/>
      <c r="H34" s="734"/>
      <c r="I34" s="734"/>
      <c r="J34" s="734"/>
      <c r="K34" s="734"/>
      <c r="L34" s="734"/>
      <c r="M34" s="734"/>
      <c r="N34" s="734"/>
      <c r="O34" s="734"/>
      <c r="P34" s="734"/>
      <c r="Q34" s="734"/>
      <c r="R34" s="734"/>
      <c r="S34" s="734"/>
      <c r="T34" s="734"/>
      <c r="U34" s="734"/>
      <c r="V34" s="73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</row>
    <row r="35" spans="1:43" s="461" customFormat="1" ht="12.75" x14ac:dyDescent="0.2">
      <c r="A35" s="734"/>
      <c r="B35" s="734"/>
      <c r="C35" s="734"/>
      <c r="D35" s="734"/>
      <c r="E35" s="734"/>
      <c r="F35" s="734"/>
      <c r="G35" s="734"/>
      <c r="H35" s="734"/>
      <c r="I35" s="734"/>
      <c r="J35" s="734"/>
      <c r="K35" s="734"/>
      <c r="L35" s="734"/>
      <c r="M35" s="734"/>
      <c r="N35" s="734"/>
      <c r="O35" s="734"/>
      <c r="P35" s="734"/>
      <c r="Q35" s="734"/>
      <c r="R35" s="734"/>
      <c r="S35" s="734"/>
      <c r="T35" s="734"/>
      <c r="U35" s="734"/>
      <c r="V35" s="73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</row>
    <row r="36" spans="1:43" s="461" customFormat="1" ht="12.75" x14ac:dyDescent="0.2">
      <c r="A36" s="734"/>
      <c r="B36" s="734"/>
      <c r="C36" s="734"/>
      <c r="D36" s="734"/>
      <c r="E36" s="734"/>
      <c r="F36" s="734"/>
      <c r="G36" s="734"/>
      <c r="H36" s="734"/>
      <c r="I36" s="734"/>
      <c r="J36" s="734"/>
      <c r="K36" s="734"/>
      <c r="L36" s="734"/>
      <c r="M36" s="734"/>
      <c r="N36" s="734"/>
      <c r="O36" s="734"/>
      <c r="P36" s="734"/>
      <c r="Q36" s="734"/>
      <c r="R36" s="734"/>
      <c r="S36" s="734"/>
      <c r="T36" s="734"/>
      <c r="U36" s="734"/>
      <c r="V36" s="73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</row>
    <row r="37" spans="1:43" s="461" customFormat="1" ht="12.75" x14ac:dyDescent="0.2">
      <c r="A37" s="734"/>
      <c r="B37" s="734"/>
      <c r="C37" s="734"/>
      <c r="D37" s="734"/>
      <c r="E37" s="734"/>
      <c r="F37" s="734"/>
      <c r="G37" s="734"/>
      <c r="H37" s="734"/>
      <c r="I37" s="734"/>
      <c r="J37" s="734"/>
      <c r="K37" s="734"/>
      <c r="L37" s="734"/>
      <c r="M37" s="734"/>
      <c r="N37" s="734"/>
      <c r="O37" s="734"/>
      <c r="P37" s="734"/>
      <c r="Q37" s="734"/>
      <c r="R37" s="734"/>
      <c r="S37" s="734"/>
      <c r="T37" s="734"/>
      <c r="U37" s="734"/>
      <c r="V37" s="73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</row>
    <row r="38" spans="1:43" s="461" customFormat="1" ht="12.7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</row>
    <row r="39" spans="1:43" s="461" customFormat="1" ht="12.7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</row>
    <row r="40" spans="1:43" s="461" customFormat="1" ht="12.7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</row>
    <row r="41" spans="1:43" s="461" customFormat="1" ht="12.7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</row>
    <row r="42" spans="1:43" s="461" customFormat="1" ht="12.7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</row>
    <row r="43" spans="1:43" s="461" customFormat="1" ht="12.7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</row>
    <row r="44" spans="1:43" s="461" customFormat="1" ht="12.7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</row>
    <row r="45" spans="1:43" s="461" customFormat="1" ht="12.7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</row>
    <row r="46" spans="1:43" s="461" customFormat="1" ht="12.7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</row>
    <row r="47" spans="1:43" s="461" customFormat="1" ht="12.7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</row>
    <row r="48" spans="1:43" s="461" customFormat="1" ht="12.7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</row>
    <row r="49" spans="1:43" s="461" customFormat="1" ht="12.7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</row>
    <row r="50" spans="1:43" s="461" customFormat="1" ht="12.7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</row>
    <row r="51" spans="1:43" s="461" customFormat="1" ht="12.7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</row>
    <row r="52" spans="1:43" s="461" customFormat="1" ht="12.7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</row>
    <row r="53" spans="1:43" s="461" customFormat="1" ht="12.7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</row>
    <row r="54" spans="1:43" s="461" customFormat="1" ht="12.7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</row>
    <row r="55" spans="1:43" s="461" customFormat="1" ht="12.7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</row>
    <row r="56" spans="1:43" s="461" customFormat="1" ht="12.7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</row>
    <row r="57" spans="1:43" s="461" customFormat="1" ht="12.7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</row>
    <row r="58" spans="1:43" s="461" customFormat="1" ht="12.7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</row>
    <row r="59" spans="1:43" s="461" customFormat="1" ht="12.7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</row>
    <row r="60" spans="1:43" s="461" customFormat="1" ht="12.7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</row>
    <row r="61" spans="1:43" s="461" customFormat="1" ht="12.7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</row>
    <row r="62" spans="1:43" s="461" customFormat="1" ht="12.7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</row>
    <row r="63" spans="1:43" s="461" customFormat="1" ht="12.7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</row>
    <row r="64" spans="1:43" s="461" customFormat="1" ht="12.7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</row>
    <row r="65" spans="1:43" s="461" customFormat="1" ht="12.7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</row>
    <row r="66" spans="1:43" s="461" customFormat="1" ht="12.7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</row>
    <row r="67" spans="1:43" s="461" customFormat="1" ht="12.75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</row>
    <row r="68" spans="1:43" s="461" customFormat="1" ht="12.75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</row>
    <row r="69" spans="1:43" s="461" customFormat="1" ht="12.75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</row>
    <row r="70" spans="1:43" s="461" customFormat="1" ht="12.75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</row>
    <row r="71" spans="1:43" s="461" customFormat="1" ht="12.75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</row>
    <row r="72" spans="1:43" s="461" customFormat="1" ht="12.75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</row>
    <row r="73" spans="1:43" s="461" customFormat="1" ht="12.75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</row>
    <row r="74" spans="1:43" s="461" customFormat="1" ht="12.75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</row>
    <row r="75" spans="1:43" s="461" customFormat="1" ht="12.75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</row>
    <row r="76" spans="1:43" s="461" customFormat="1" ht="12.75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</row>
    <row r="77" spans="1:43" s="461" customFormat="1" ht="12.75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</row>
    <row r="78" spans="1:43" s="461" customFormat="1" ht="12.75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</row>
    <row r="79" spans="1:43" s="461" customFormat="1" ht="12.75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</row>
    <row r="80" spans="1:43" s="461" customFormat="1" ht="12.75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</row>
    <row r="81" spans="1:43" s="461" customFormat="1" ht="12.75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</row>
    <row r="82" spans="1:43" s="461" customFormat="1" ht="12.75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</row>
    <row r="83" spans="1:43" s="461" customFormat="1" ht="12.75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</row>
    <row r="84" spans="1:43" s="461" customFormat="1" ht="12.75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</row>
    <row r="85" spans="1:43" s="461" customFormat="1" ht="12.75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</row>
    <row r="86" spans="1:43" s="461" customFormat="1" ht="12.75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</row>
    <row r="87" spans="1:43" s="461" customFormat="1" ht="12.75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</row>
    <row r="88" spans="1:43" s="461" customFormat="1" ht="12.75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</row>
    <row r="89" spans="1:43" s="461" customFormat="1" ht="12.75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</row>
    <row r="90" spans="1:43" s="461" customFormat="1" ht="12.75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</row>
    <row r="91" spans="1:43" s="461" customFormat="1" ht="12.75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</row>
    <row r="92" spans="1:43" s="461" customFormat="1" ht="12.75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</row>
    <row r="93" spans="1:43" s="461" customFormat="1" ht="12.75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</row>
    <row r="94" spans="1:43" s="461" customFormat="1" ht="12.75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</row>
    <row r="95" spans="1:43" s="461" customFormat="1" ht="12.75" x14ac:dyDescent="0.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</row>
    <row r="96" spans="1:43" s="461" customFormat="1" ht="12.75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</row>
    <row r="97" spans="1:43" s="461" customFormat="1" ht="12.75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</row>
    <row r="98" spans="1:43" s="461" customFormat="1" ht="12.75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</row>
    <row r="99" spans="1:43" s="461" customFormat="1" ht="12.75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</row>
    <row r="100" spans="1:43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</row>
  </sheetData>
  <mergeCells count="112">
    <mergeCell ref="A1:V1"/>
    <mergeCell ref="A18:D18"/>
    <mergeCell ref="G18:H18"/>
    <mergeCell ref="A15:E15"/>
    <mergeCell ref="A16:E16"/>
    <mergeCell ref="A17:E17"/>
    <mergeCell ref="G16:H16"/>
    <mergeCell ref="G15:I15"/>
    <mergeCell ref="G17:H17"/>
    <mergeCell ref="K18:V18"/>
    <mergeCell ref="I21:K21"/>
    <mergeCell ref="K15:V15"/>
    <mergeCell ref="I11:J11"/>
    <mergeCell ref="G7:J7"/>
    <mergeCell ref="A7:E7"/>
    <mergeCell ref="G8:H8"/>
    <mergeCell ref="G9:H9"/>
    <mergeCell ref="A3:E3"/>
    <mergeCell ref="P3:R3"/>
    <mergeCell ref="F3:G3"/>
    <mergeCell ref="A5:B5"/>
    <mergeCell ref="E5:F5"/>
    <mergeCell ref="G5:V5"/>
    <mergeCell ref="I3:J3"/>
    <mergeCell ref="K3:N3"/>
    <mergeCell ref="S3:V3"/>
    <mergeCell ref="A11:B11"/>
    <mergeCell ref="G10:H10"/>
    <mergeCell ref="G11:H11"/>
    <mergeCell ref="A8:B8"/>
    <mergeCell ref="A9:B9"/>
    <mergeCell ref="A10:B10"/>
    <mergeCell ref="K16:V16"/>
    <mergeCell ref="K17:V17"/>
    <mergeCell ref="A21:C21"/>
    <mergeCell ref="S7:T7"/>
    <mergeCell ref="U7:V7"/>
    <mergeCell ref="S9:T9"/>
    <mergeCell ref="U9:V9"/>
    <mergeCell ref="S11:T11"/>
    <mergeCell ref="U11:V11"/>
    <mergeCell ref="L10:M10"/>
    <mergeCell ref="L11:M11"/>
    <mergeCell ref="L12:M12"/>
    <mergeCell ref="O9:O12"/>
    <mergeCell ref="P9:Q12"/>
    <mergeCell ref="L7:Q7"/>
    <mergeCell ref="N8:Q8"/>
    <mergeCell ref="G12:H12"/>
    <mergeCell ref="I12:J12"/>
    <mergeCell ref="L8:M8"/>
    <mergeCell ref="L9:M9"/>
    <mergeCell ref="I8:J8"/>
    <mergeCell ref="I9:J9"/>
    <mergeCell ref="I10:J10"/>
    <mergeCell ref="E21:G21"/>
    <mergeCell ref="M21:O21"/>
    <mergeCell ref="U21:V21"/>
    <mergeCell ref="E22:G22"/>
    <mergeCell ref="E23:G23"/>
    <mergeCell ref="E24:G24"/>
    <mergeCell ref="E25:G25"/>
    <mergeCell ref="E26:G26"/>
    <mergeCell ref="E27:G27"/>
    <mergeCell ref="E28:G28"/>
    <mergeCell ref="A22:C22"/>
    <mergeCell ref="A23:C23"/>
    <mergeCell ref="A24:C24"/>
    <mergeCell ref="A25:C25"/>
    <mergeCell ref="A26:C26"/>
    <mergeCell ref="A27:C27"/>
    <mergeCell ref="M22:O22"/>
    <mergeCell ref="M23:O23"/>
    <mergeCell ref="M24:O24"/>
    <mergeCell ref="M25:O25"/>
    <mergeCell ref="M26:O26"/>
    <mergeCell ref="M27:O27"/>
    <mergeCell ref="M28:O28"/>
    <mergeCell ref="I22:K22"/>
    <mergeCell ref="I23:K23"/>
    <mergeCell ref="I24:K24"/>
    <mergeCell ref="I25:K25"/>
    <mergeCell ref="I26:K26"/>
    <mergeCell ref="I27:K27"/>
    <mergeCell ref="U22:V22"/>
    <mergeCell ref="U23:V23"/>
    <mergeCell ref="U24:V24"/>
    <mergeCell ref="Q22:S22"/>
    <mergeCell ref="Q23:S23"/>
    <mergeCell ref="Q24:S24"/>
    <mergeCell ref="Q25:S25"/>
    <mergeCell ref="Q26:S26"/>
    <mergeCell ref="Q21:S21"/>
    <mergeCell ref="A36:V36"/>
    <mergeCell ref="A37:V37"/>
    <mergeCell ref="U26:V26"/>
    <mergeCell ref="U27:V27"/>
    <mergeCell ref="U28:V28"/>
    <mergeCell ref="U29:V29"/>
    <mergeCell ref="A32:V32"/>
    <mergeCell ref="A33:V33"/>
    <mergeCell ref="A34:V34"/>
    <mergeCell ref="A35:V35"/>
    <mergeCell ref="Q29:S29"/>
    <mergeCell ref="Q27:S27"/>
    <mergeCell ref="I28:K28"/>
    <mergeCell ref="I29:K29"/>
    <mergeCell ref="A28:C28"/>
    <mergeCell ref="A29:C29"/>
    <mergeCell ref="Q28:S28"/>
    <mergeCell ref="E29:G29"/>
    <mergeCell ref="M29:O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11"/>
  <sheetViews>
    <sheetView zoomScale="80" zoomScaleNormal="80" workbookViewId="0">
      <selection activeCell="B11" sqref="B11"/>
    </sheetView>
  </sheetViews>
  <sheetFormatPr defaultRowHeight="15" x14ac:dyDescent="0.25"/>
  <cols>
    <col min="1" max="1" width="2.7109375" customWidth="1"/>
    <col min="2" max="2" width="12.140625" customWidth="1"/>
    <col min="3" max="3" width="40.140625" customWidth="1"/>
    <col min="4" max="4" width="6.42578125" customWidth="1"/>
    <col min="5" max="5" width="9.140625" customWidth="1"/>
    <col min="6" max="6" width="2.28515625" bestFit="1" customWidth="1"/>
    <col min="7" max="8" width="9.7109375" customWidth="1"/>
    <col min="9" max="9" width="2.42578125" bestFit="1" customWidth="1"/>
    <col min="10" max="10" width="9.85546875" bestFit="1" customWidth="1"/>
    <col min="11" max="11" width="2.42578125" bestFit="1" customWidth="1"/>
    <col min="13" max="13" width="2.5703125" customWidth="1"/>
    <col min="15" max="15" width="2.28515625" bestFit="1" customWidth="1"/>
    <col min="16" max="16" width="10.28515625" bestFit="1" customWidth="1"/>
    <col min="17" max="17" width="2.42578125" customWidth="1"/>
    <col min="19" max="19" width="2.42578125" bestFit="1" customWidth="1"/>
    <col min="21" max="21" width="2.42578125" customWidth="1"/>
    <col min="23" max="23" width="2.42578125" bestFit="1" customWidth="1"/>
    <col min="24" max="24" width="9.5703125" customWidth="1"/>
    <col min="25" max="25" width="2.42578125" bestFit="1" customWidth="1"/>
    <col min="27" max="27" width="2.7109375" customWidth="1"/>
    <col min="28" max="28" width="11" customWidth="1"/>
    <col min="29" max="29" width="2.42578125" bestFit="1" customWidth="1"/>
    <col min="30" max="30" width="9.140625" customWidth="1"/>
    <col min="31" max="31" width="5.140625" customWidth="1"/>
    <col min="32" max="32" width="9.140625" customWidth="1"/>
    <col min="37" max="37" width="11.42578125" customWidth="1"/>
    <col min="38" max="38" width="11.7109375" customWidth="1"/>
    <col min="39" max="39" width="11.85546875" customWidth="1"/>
    <col min="40" max="40" width="13.42578125" customWidth="1"/>
  </cols>
  <sheetData>
    <row r="1" spans="1:59" ht="15.75" customHeight="1" x14ac:dyDescent="0.25">
      <c r="A1" s="656" t="s">
        <v>91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  <c r="V1" s="656"/>
      <c r="W1" s="656"/>
      <c r="X1" s="656"/>
      <c r="Y1" s="656"/>
      <c r="Z1" s="656"/>
      <c r="AA1" s="656"/>
      <c r="AB1" s="656"/>
      <c r="AC1" s="656"/>
      <c r="AD1" s="656"/>
      <c r="AE1" s="656"/>
      <c r="AF1" s="656"/>
      <c r="AG1" s="656"/>
      <c r="AH1" s="30"/>
      <c r="AI1" s="30"/>
      <c r="AJ1" s="572" t="s">
        <v>152</v>
      </c>
      <c r="AK1" s="573"/>
      <c r="AL1" s="573"/>
      <c r="AM1" s="573"/>
      <c r="AN1" s="573"/>
      <c r="AO1" s="573"/>
      <c r="AP1" s="574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</row>
    <row r="2" spans="1:59" ht="15" customHeight="1" x14ac:dyDescent="0.25">
      <c r="A2" s="114" t="s">
        <v>262</v>
      </c>
      <c r="B2" s="114">
        <f>IF(General!AB4&gt;=5,ROUNDDOWN(General!AB4/5,0),1)</f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</row>
    <row r="3" spans="1:59" ht="15.75" x14ac:dyDescent="0.25">
      <c r="A3" s="114" t="s">
        <v>263</v>
      </c>
      <c r="B3" s="114">
        <f>IF(General!AF4&gt;=5,ROUNDDOWN(General!AF4/5,0),1)</f>
        <v>1</v>
      </c>
      <c r="C3" s="55" t="s">
        <v>92</v>
      </c>
      <c r="E3" s="59">
        <f>IF(G3+J3+L3&lt;1,1,G3+J3+L3)</f>
        <v>1</v>
      </c>
      <c r="F3" s="54" t="s">
        <v>6</v>
      </c>
      <c r="G3" s="543"/>
      <c r="H3" s="543"/>
      <c r="I3" s="54" t="s">
        <v>7</v>
      </c>
      <c r="J3" s="19">
        <f>ROUNDDOWN((General!D12+General!F12+General!J12+General!L12-10)/2,0)</f>
        <v>-5</v>
      </c>
      <c r="K3" s="54" t="s">
        <v>7</v>
      </c>
      <c r="L3" s="7"/>
      <c r="N3" s="30"/>
      <c r="O3" s="654" t="s">
        <v>136</v>
      </c>
      <c r="P3" s="654"/>
      <c r="Q3" s="654"/>
      <c r="R3" s="654"/>
      <c r="S3" s="654"/>
      <c r="T3" s="654"/>
      <c r="U3" s="655"/>
      <c r="V3" s="19">
        <f>X3+Z3+AB3+AD3</f>
        <v>4</v>
      </c>
      <c r="W3" s="54" t="s">
        <v>6</v>
      </c>
      <c r="X3" s="5">
        <f>IF(2+J3+L3&gt;1,T6*(2+J3+L3),T6*1)+IF(4+J3+L3&gt;1,V6*(4+J3+L3),V6*1)+IF(6+J3+L3&gt;1,X6*(6+J3+L3),X6*1)+IF(8+J3+L3&gt;1,Z6*(8+J3+L3),Z6*1)+IF(K6+J3+L3&gt;1,4*(K6+J3+L3),4*1)</f>
        <v>4</v>
      </c>
      <c r="Y3" s="54" t="s">
        <v>7</v>
      </c>
      <c r="Z3" s="62"/>
      <c r="AA3" s="54" t="s">
        <v>7</v>
      </c>
      <c r="AB3" s="62"/>
      <c r="AC3" s="54" t="s">
        <v>7</v>
      </c>
      <c r="AD3" s="643"/>
      <c r="AE3" s="644"/>
      <c r="AF3" s="29"/>
      <c r="AG3" s="29"/>
      <c r="AH3" s="30"/>
      <c r="AI3" s="30"/>
      <c r="AJ3" s="654" t="s">
        <v>136</v>
      </c>
      <c r="AK3" s="654"/>
      <c r="AL3" s="654"/>
      <c r="AM3" s="19">
        <f>SUM(AN10:AN29)+AO10</f>
        <v>0</v>
      </c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</row>
    <row r="4" spans="1:59" ht="15" customHeight="1" x14ac:dyDescent="0.25">
      <c r="A4" s="30"/>
      <c r="B4" s="30"/>
      <c r="C4" s="30"/>
      <c r="D4" s="30"/>
      <c r="E4" s="65" t="s">
        <v>1</v>
      </c>
      <c r="F4" s="66"/>
      <c r="G4" s="602" t="s">
        <v>2</v>
      </c>
      <c r="H4" s="602"/>
      <c r="I4" s="66"/>
      <c r="J4" s="65" t="s">
        <v>93</v>
      </c>
      <c r="K4" s="66"/>
      <c r="L4" s="65" t="s">
        <v>38</v>
      </c>
      <c r="M4" s="30"/>
      <c r="N4" s="30"/>
      <c r="O4" s="654" t="s">
        <v>137</v>
      </c>
      <c r="P4" s="654"/>
      <c r="Q4" s="654"/>
      <c r="R4" s="654"/>
      <c r="S4" s="654"/>
      <c r="T4" s="654"/>
      <c r="U4" s="655"/>
      <c r="V4" s="19">
        <f>SUM(G10:G73)+2*SUM(H10:H73)</f>
        <v>0</v>
      </c>
      <c r="W4" s="39"/>
      <c r="X4" s="65" t="s">
        <v>138</v>
      </c>
      <c r="Y4" s="29"/>
      <c r="Z4" s="65" t="s">
        <v>129</v>
      </c>
      <c r="AA4" s="67"/>
      <c r="AB4" s="65" t="s">
        <v>38</v>
      </c>
      <c r="AC4" s="67"/>
      <c r="AD4" s="473" t="s">
        <v>139</v>
      </c>
      <c r="AE4" s="473"/>
      <c r="AF4" s="29"/>
      <c r="AG4" s="29"/>
      <c r="AH4" s="30"/>
      <c r="AI4" s="30"/>
      <c r="AJ4" s="654" t="s">
        <v>137</v>
      </c>
      <c r="AK4" s="654"/>
      <c r="AL4" s="654"/>
      <c r="AM4" s="19">
        <f>SUM(G10:G73)+2*SUM(H10:H73)</f>
        <v>0</v>
      </c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</row>
    <row r="5" spans="1:59" ht="17.25" customHeight="1" x14ac:dyDescent="0.25">
      <c r="A5" s="30"/>
      <c r="C5" s="69" t="s">
        <v>143</v>
      </c>
      <c r="D5" s="657">
        <f>General!AF7+3</f>
        <v>3</v>
      </c>
      <c r="E5" s="658"/>
      <c r="F5" s="71"/>
      <c r="G5" s="30"/>
      <c r="I5" s="71"/>
      <c r="K5" s="71"/>
      <c r="M5" s="71"/>
      <c r="O5" s="71"/>
      <c r="Q5" s="71"/>
      <c r="S5" s="71"/>
      <c r="U5" s="30"/>
      <c r="V5" s="71"/>
      <c r="X5" s="71"/>
      <c r="Y5" s="29"/>
      <c r="Z5" s="29"/>
      <c r="AA5" s="29"/>
      <c r="AB5" s="654" t="s">
        <v>140</v>
      </c>
      <c r="AC5" s="654"/>
      <c r="AD5" s="654"/>
      <c r="AE5" s="545" t="str">
        <f>IF(V4=V3,"Skill Points OK",IF(V4&gt;V3,"Remove Skill Points","Skill Points Missing"))</f>
        <v>Skill Points Missing</v>
      </c>
      <c r="AF5" s="612"/>
      <c r="AG5" s="546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</row>
    <row r="6" spans="1:59" ht="17.25" customHeight="1" x14ac:dyDescent="0.25">
      <c r="A6" s="30"/>
      <c r="B6" s="654" t="s">
        <v>144</v>
      </c>
      <c r="C6" s="654"/>
      <c r="D6" s="648">
        <f>D5/2</f>
        <v>1.5</v>
      </c>
      <c r="E6" s="649"/>
      <c r="F6" s="71"/>
      <c r="G6" s="654" t="s">
        <v>149</v>
      </c>
      <c r="H6" s="654"/>
      <c r="I6" s="654"/>
      <c r="J6" s="654"/>
      <c r="K6" s="469">
        <f>IF(OR(General!$Y$7=General!$AH$23,General!$Y$7=General!AH15),2,IF(OR(General!Y7=General!AH9,General!Y7=General!AH10,General!Y7=General!AH16,General!Y7=General!AH18,General!Y7=General!AH20,General!Y7=General!AH21,General!Y7=General!AH24,General!Y7=General!AH28,General!$Y$7=General!AH26,General!$Y$7=General!AH17,General!$Y$7=General!AH14),6,IF(OR(General!Y7=General!AH11,General!Y7=General!AH12,General!Y7=General!AH19,General!Y7=General!AH22,General!Y7=General!AH25,General!$Y$7=General!AH13,General!$Y$7=General!AH27,General!Y7=General!AH29),4,0)))</f>
        <v>0</v>
      </c>
      <c r="L6" s="470"/>
      <c r="M6" s="78"/>
      <c r="N6" s="654" t="s">
        <v>151</v>
      </c>
      <c r="O6" s="654"/>
      <c r="P6" s="654"/>
      <c r="Q6" s="654"/>
      <c r="R6" s="654"/>
      <c r="S6" s="655"/>
      <c r="T6" s="95">
        <f>IF(OR(General!$Y$7=General!$AH$23,General!$Y$7=General!$AH$15),General!AF7-1,0)</f>
        <v>0</v>
      </c>
      <c r="U6" s="38"/>
      <c r="V6" s="95">
        <f>IF(OR(General!Y7=General!AH11,General!Y7=General!AH12,General!Y7=General!AH19,General!Y7=General!AH22,General!Y7=General!AH25,General!Y7=General!AH13,General!Y7=General!AH27,General!Y7=General!AH29),General!AF7-1,0)</f>
        <v>0</v>
      </c>
      <c r="W6" s="38"/>
      <c r="X6" s="95">
        <f>IF(OR(General!Y7=General!AH9,General!Y7=General!AH10,General!Y7=General!AH16,General!Y7=General!AH18,General!Y7=General!AH20,General!Y7=General!AH21,General!Y7=General!AH24,General!Y7=General!AH28,General!Y7=General!AH14,General!Y7=General!AH17,General!Y7=General!AH26),General!AF7-1,0)</f>
        <v>0</v>
      </c>
      <c r="Y6" s="38"/>
      <c r="Z6" s="30"/>
      <c r="AA6" s="29"/>
      <c r="AB6" s="69"/>
      <c r="AC6" s="69"/>
      <c r="AD6" s="69"/>
      <c r="AE6" s="30"/>
      <c r="AF6" s="30"/>
      <c r="AG6" s="30"/>
      <c r="AH6" s="30"/>
      <c r="AI6" s="30"/>
      <c r="AJ6" s="654" t="s">
        <v>140</v>
      </c>
      <c r="AK6" s="654"/>
      <c r="AL6" s="654"/>
      <c r="AM6" s="545" t="str">
        <f>IF(AM4=AM3,"Skill Points OK",IF(AM4&gt;AM3,"Remove Skill Points","Skill Points Missing"))</f>
        <v>Skill Points OK</v>
      </c>
      <c r="AN6" s="612"/>
      <c r="AO6" s="546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</row>
    <row r="7" spans="1:59" ht="21" customHeight="1" x14ac:dyDescent="0.25">
      <c r="A7" s="30"/>
      <c r="B7" s="30"/>
      <c r="D7" s="30"/>
      <c r="F7" s="30"/>
      <c r="G7" s="30"/>
      <c r="H7" s="30"/>
      <c r="I7" s="30"/>
      <c r="J7" s="30"/>
      <c r="K7" s="526" t="s">
        <v>150</v>
      </c>
      <c r="L7" s="526"/>
      <c r="M7" s="30"/>
      <c r="O7" s="30"/>
      <c r="P7" s="30"/>
      <c r="Q7" s="30"/>
      <c r="R7" s="29"/>
      <c r="S7" s="29"/>
      <c r="T7" s="75" t="s">
        <v>146</v>
      </c>
      <c r="U7" s="76"/>
      <c r="V7" s="75" t="s">
        <v>148</v>
      </c>
      <c r="W7" s="76"/>
      <c r="X7" s="75" t="s">
        <v>147</v>
      </c>
      <c r="Y7" s="76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</row>
    <row r="8" spans="1:59" ht="22.5" customHeight="1" x14ac:dyDescent="0.25">
      <c r="A8" s="73"/>
      <c r="B8" s="73" t="s">
        <v>261</v>
      </c>
      <c r="C8" s="71"/>
      <c r="D8" s="645" t="s">
        <v>118</v>
      </c>
      <c r="E8" s="645" t="s">
        <v>95</v>
      </c>
      <c r="F8" s="70"/>
      <c r="G8" s="645" t="s">
        <v>164</v>
      </c>
      <c r="H8" s="645" t="s">
        <v>165</v>
      </c>
      <c r="I8" s="70"/>
      <c r="J8" s="645" t="s">
        <v>96</v>
      </c>
      <c r="K8" s="70"/>
      <c r="L8" s="645" t="s">
        <v>97</v>
      </c>
      <c r="M8" s="70"/>
      <c r="N8" s="645" t="s">
        <v>65</v>
      </c>
      <c r="O8" s="70"/>
      <c r="P8" s="645" t="s">
        <v>98</v>
      </c>
      <c r="Q8" s="70"/>
      <c r="R8" s="645" t="s">
        <v>383</v>
      </c>
      <c r="S8" s="70"/>
      <c r="T8" s="645" t="s">
        <v>130</v>
      </c>
      <c r="U8" s="72"/>
      <c r="V8" s="646" t="s">
        <v>131</v>
      </c>
      <c r="W8" s="645" t="s">
        <v>86</v>
      </c>
      <c r="X8" s="645"/>
      <c r="Y8" s="639" t="s">
        <v>232</v>
      </c>
      <c r="Z8" s="639"/>
      <c r="AA8" s="639"/>
      <c r="AB8" s="639"/>
      <c r="AC8" s="639"/>
      <c r="AD8" s="639"/>
      <c r="AE8" s="639"/>
      <c r="AF8" s="639"/>
      <c r="AG8" s="639"/>
      <c r="AH8" s="30"/>
      <c r="AI8" s="30"/>
      <c r="AJ8" s="650" t="s">
        <v>22</v>
      </c>
      <c r="AK8" s="652" t="s">
        <v>153</v>
      </c>
      <c r="AL8" s="652" t="s">
        <v>154</v>
      </c>
      <c r="AM8" s="652" t="s">
        <v>155</v>
      </c>
      <c r="AN8" s="30"/>
      <c r="AO8" s="652" t="s">
        <v>156</v>
      </c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</row>
    <row r="9" spans="1:59" ht="12.75" customHeight="1" thickBot="1" x14ac:dyDescent="0.3">
      <c r="A9" s="109"/>
      <c r="B9" s="74" t="s">
        <v>145</v>
      </c>
      <c r="C9" s="70" t="s">
        <v>94</v>
      </c>
      <c r="D9" s="645"/>
      <c r="E9" s="647"/>
      <c r="F9" s="70"/>
      <c r="G9" s="647"/>
      <c r="H9" s="647"/>
      <c r="I9" s="70"/>
      <c r="J9" s="647"/>
      <c r="K9" s="70"/>
      <c r="L9" s="647"/>
      <c r="M9" s="70"/>
      <c r="N9" s="647"/>
      <c r="O9" s="70"/>
      <c r="P9" s="647"/>
      <c r="Q9" s="70"/>
      <c r="R9" s="647"/>
      <c r="S9" s="70"/>
      <c r="T9" s="647"/>
      <c r="U9" s="72"/>
      <c r="V9" s="647"/>
      <c r="W9" s="647"/>
      <c r="X9" s="647"/>
      <c r="Y9" s="29"/>
      <c r="Z9" s="29"/>
      <c r="AA9" s="29"/>
      <c r="AB9" s="29"/>
      <c r="AC9" s="29"/>
      <c r="AD9" s="29"/>
      <c r="AE9" s="29"/>
      <c r="AF9" s="29"/>
      <c r="AG9" s="29"/>
      <c r="AH9" s="30"/>
      <c r="AI9" s="30"/>
      <c r="AJ9" s="651"/>
      <c r="AK9" s="653"/>
      <c r="AL9" s="653"/>
      <c r="AM9" s="653"/>
      <c r="AN9" s="30"/>
      <c r="AO9" s="653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</row>
    <row r="10" spans="1:59" ht="15.75" thickBot="1" x14ac:dyDescent="0.3">
      <c r="A10" s="30"/>
      <c r="B10" s="110"/>
      <c r="C10" s="91" t="s">
        <v>100</v>
      </c>
      <c r="D10" s="56" t="s">
        <v>9</v>
      </c>
      <c r="E10" s="58">
        <f>G10+J10+L10-N10+P10+T10+R10+H10+V10</f>
        <v>-5</v>
      </c>
      <c r="F10" s="56" t="s">
        <v>6</v>
      </c>
      <c r="G10" s="57"/>
      <c r="H10" s="57"/>
      <c r="I10" s="56" t="s">
        <v>7</v>
      </c>
      <c r="J10" s="58">
        <f>General!N8</f>
        <v>-5</v>
      </c>
      <c r="K10" s="56" t="s">
        <v>7</v>
      </c>
      <c r="L10" s="57"/>
      <c r="M10" s="56" t="s">
        <v>53</v>
      </c>
      <c r="N10" s="58">
        <f>-1*IF(General!AE2="Heavy",-6,IF(General!AE2="Medium",-3,0))</f>
        <v>0</v>
      </c>
      <c r="O10" s="56" t="s">
        <v>7</v>
      </c>
      <c r="P10" s="58">
        <f>IF(G28+H28&gt;4,2,0)+IF(G48+H48&gt;4,2,0)+IF(G70+H70&gt;4,2,0)</f>
        <v>0</v>
      </c>
      <c r="Q10" s="56" t="s">
        <v>7</v>
      </c>
      <c r="R10" s="58">
        <f>4*Feats!K23+Feats!B14*2</f>
        <v>0</v>
      </c>
      <c r="S10" s="56" t="s">
        <v>7</v>
      </c>
      <c r="T10" s="6"/>
      <c r="U10" s="56" t="s">
        <v>7</v>
      </c>
      <c r="V10" s="106"/>
      <c r="W10" s="640"/>
      <c r="X10" s="641"/>
      <c r="Y10" s="641"/>
      <c r="Z10" s="641"/>
      <c r="AA10" s="641"/>
      <c r="AB10" s="641"/>
      <c r="AC10" s="641"/>
      <c r="AD10" s="641"/>
      <c r="AE10" s="641"/>
      <c r="AF10" s="641"/>
      <c r="AG10" s="642"/>
      <c r="AH10" s="30"/>
      <c r="AI10" s="30"/>
      <c r="AJ10" s="79">
        <v>1</v>
      </c>
      <c r="AK10" s="254"/>
      <c r="AL10" s="254"/>
      <c r="AM10" s="254"/>
      <c r="AN10" s="80">
        <f>IF(AK10&gt;0,IF(AK10+AL10+AM10&gt;1,4*(AK10+AL10+AM10),4),0)</f>
        <v>0</v>
      </c>
      <c r="AO10" s="106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</row>
    <row r="11" spans="1:59" ht="15.75" thickBot="1" x14ac:dyDescent="0.3">
      <c r="A11" s="30"/>
      <c r="B11" s="111"/>
      <c r="C11" s="91" t="s">
        <v>208</v>
      </c>
      <c r="D11" s="56" t="s">
        <v>13</v>
      </c>
      <c r="E11" s="58">
        <f t="shared" ref="E11:E14" si="0">G11+J11+L11-N11+P11+T11+R11+H11+V11</f>
        <v>-5</v>
      </c>
      <c r="F11" s="56" t="s">
        <v>6</v>
      </c>
      <c r="G11" s="57"/>
      <c r="H11" s="57"/>
      <c r="I11" s="56" t="s">
        <v>7</v>
      </c>
      <c r="J11" s="58">
        <f>General!N12</f>
        <v>-5</v>
      </c>
      <c r="K11" s="56" t="s">
        <v>7</v>
      </c>
      <c r="L11" s="57"/>
      <c r="M11" s="56" t="s">
        <v>53</v>
      </c>
      <c r="N11" s="58"/>
      <c r="O11" s="56" t="s">
        <v>7</v>
      </c>
      <c r="P11" s="58"/>
      <c r="Q11" s="56" t="s">
        <v>7</v>
      </c>
      <c r="R11" s="58">
        <f>4*Feats!K24</f>
        <v>0</v>
      </c>
      <c r="S11" s="56" t="s">
        <v>7</v>
      </c>
      <c r="T11" s="6"/>
      <c r="U11" s="56" t="s">
        <v>7</v>
      </c>
      <c r="V11" s="106"/>
      <c r="W11" s="640"/>
      <c r="X11" s="641"/>
      <c r="Y11" s="641"/>
      <c r="Z11" s="641"/>
      <c r="AA11" s="641"/>
      <c r="AB11" s="641"/>
      <c r="AC11" s="641"/>
      <c r="AD11" s="641"/>
      <c r="AE11" s="641"/>
      <c r="AF11" s="641"/>
      <c r="AG11" s="642"/>
      <c r="AH11" s="30"/>
      <c r="AJ11" s="79">
        <v>2</v>
      </c>
      <c r="AK11" s="77"/>
      <c r="AL11" s="77"/>
      <c r="AM11" s="77"/>
      <c r="AN11" s="80">
        <f>IF(AK11&gt;0,IF(AK11+AL11+AM11&gt;1,AK11+AL11+AM11,1),0)</f>
        <v>0</v>
      </c>
      <c r="AO11" s="8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</row>
    <row r="12" spans="1:59" ht="15.75" thickBot="1" x14ac:dyDescent="0.3">
      <c r="A12" s="30"/>
      <c r="B12" s="111"/>
      <c r="C12" s="91" t="s">
        <v>101</v>
      </c>
      <c r="D12" s="56" t="s">
        <v>17</v>
      </c>
      <c r="E12" s="58">
        <f t="shared" si="0"/>
        <v>-5</v>
      </c>
      <c r="F12" s="56" t="s">
        <v>6</v>
      </c>
      <c r="G12" s="57"/>
      <c r="H12" s="57"/>
      <c r="I12" s="56" t="s">
        <v>7</v>
      </c>
      <c r="J12" s="58">
        <f>General!N16</f>
        <v>-5</v>
      </c>
      <c r="K12" s="56" t="s">
        <v>7</v>
      </c>
      <c r="L12" s="57"/>
      <c r="M12" s="56" t="s">
        <v>53</v>
      </c>
      <c r="N12" s="58"/>
      <c r="O12" s="56" t="s">
        <v>7</v>
      </c>
      <c r="P12" s="58">
        <f>IF(G30+H30&gt;4,2,0)</f>
        <v>0</v>
      </c>
      <c r="Q12" s="56" t="s">
        <v>7</v>
      </c>
      <c r="R12" s="58">
        <f>4*Feats!K25+Feats!H35*2+Feats!H36*2+Feats!E14*2</f>
        <v>0</v>
      </c>
      <c r="S12" s="56" t="s">
        <v>7</v>
      </c>
      <c r="T12" s="6"/>
      <c r="U12" s="56" t="s">
        <v>7</v>
      </c>
      <c r="V12" s="106"/>
      <c r="W12" s="640"/>
      <c r="X12" s="641"/>
      <c r="Y12" s="641"/>
      <c r="Z12" s="641"/>
      <c r="AA12" s="641"/>
      <c r="AB12" s="641"/>
      <c r="AC12" s="641"/>
      <c r="AD12" s="641"/>
      <c r="AE12" s="641"/>
      <c r="AF12" s="641"/>
      <c r="AG12" s="642"/>
      <c r="AH12" s="30"/>
      <c r="AI12" s="30"/>
      <c r="AJ12" s="79">
        <v>3</v>
      </c>
      <c r="AK12" s="99"/>
      <c r="AL12" s="99"/>
      <c r="AM12" s="99"/>
      <c r="AN12" s="80">
        <f t="shared" ref="AN12:AN29" si="1">IF(AK12&gt;0,IF(AK12+AL12+AM12&gt;1,AK12+AL12+AM12,1),0)</f>
        <v>0</v>
      </c>
      <c r="AO12" s="8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</row>
    <row r="13" spans="1:59" ht="15.75" customHeight="1" thickBot="1" x14ac:dyDescent="0.3">
      <c r="A13" s="30"/>
      <c r="B13" s="111"/>
      <c r="C13" s="91" t="s">
        <v>102</v>
      </c>
      <c r="D13" s="56" t="s">
        <v>5</v>
      </c>
      <c r="E13" s="58">
        <f t="shared" si="0"/>
        <v>-5</v>
      </c>
      <c r="F13" s="56" t="s">
        <v>6</v>
      </c>
      <c r="G13" s="57"/>
      <c r="H13" s="57"/>
      <c r="I13" s="56" t="s">
        <v>7</v>
      </c>
      <c r="J13" s="58">
        <f>General!N6</f>
        <v>-5</v>
      </c>
      <c r="K13" s="56" t="s">
        <v>7</v>
      </c>
      <c r="L13" s="57"/>
      <c r="M13" s="56" t="s">
        <v>53</v>
      </c>
      <c r="N13" s="58">
        <f>-1*IF(General!AE2="Heavy",-6,IF(General!AE2="Medium",-3,0))</f>
        <v>0</v>
      </c>
      <c r="O13" s="56" t="s">
        <v>7</v>
      </c>
      <c r="P13" s="58">
        <f>IF(G10+H10&gt;4,2,0)</f>
        <v>0</v>
      </c>
      <c r="Q13" s="56" t="s">
        <v>7</v>
      </c>
      <c r="R13" s="58">
        <f>4*Feats!K26+2*Feats!B32</f>
        <v>0</v>
      </c>
      <c r="S13" s="56" t="s">
        <v>7</v>
      </c>
      <c r="T13" s="6"/>
      <c r="U13" s="56" t="s">
        <v>7</v>
      </c>
      <c r="V13" s="106"/>
      <c r="W13" s="640"/>
      <c r="X13" s="641"/>
      <c r="Y13" s="641"/>
      <c r="Z13" s="641"/>
      <c r="AA13" s="641"/>
      <c r="AB13" s="641"/>
      <c r="AC13" s="641"/>
      <c r="AD13" s="641"/>
      <c r="AE13" s="641"/>
      <c r="AF13" s="641"/>
      <c r="AG13" s="642"/>
      <c r="AH13" s="30"/>
      <c r="AI13" s="30"/>
      <c r="AJ13" s="79">
        <v>4</v>
      </c>
      <c r="AK13" s="77"/>
      <c r="AL13" s="77"/>
      <c r="AM13" s="77"/>
      <c r="AN13" s="80">
        <f t="shared" si="1"/>
        <v>0</v>
      </c>
      <c r="AO13" s="8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</row>
    <row r="14" spans="1:59" ht="15.75" thickBot="1" x14ac:dyDescent="0.3">
      <c r="A14" s="30"/>
      <c r="B14" s="115" t="s">
        <v>188</v>
      </c>
      <c r="C14" s="91" t="s">
        <v>103</v>
      </c>
      <c r="D14" s="56" t="s">
        <v>11</v>
      </c>
      <c r="E14" s="58">
        <f t="shared" si="0"/>
        <v>-5</v>
      </c>
      <c r="F14" s="56" t="s">
        <v>6</v>
      </c>
      <c r="G14" s="57"/>
      <c r="H14" s="116"/>
      <c r="I14" s="56" t="s">
        <v>7</v>
      </c>
      <c r="J14" s="58">
        <f>General!N10</f>
        <v>-5</v>
      </c>
      <c r="K14" s="56" t="s">
        <v>7</v>
      </c>
      <c r="L14" s="57"/>
      <c r="M14" s="56" t="s">
        <v>53</v>
      </c>
      <c r="N14" s="58"/>
      <c r="O14" s="56" t="s">
        <v>7</v>
      </c>
      <c r="P14" s="58"/>
      <c r="Q14" s="56" t="s">
        <v>7</v>
      </c>
      <c r="R14" s="58">
        <f>4*Feats!K27</f>
        <v>0</v>
      </c>
      <c r="S14" s="56" t="s">
        <v>7</v>
      </c>
      <c r="T14" s="6"/>
      <c r="U14" s="56" t="s">
        <v>7</v>
      </c>
      <c r="V14" s="106"/>
      <c r="W14" s="640"/>
      <c r="X14" s="641"/>
      <c r="Y14" s="641"/>
      <c r="Z14" s="641"/>
      <c r="AA14" s="641"/>
      <c r="AB14" s="641"/>
      <c r="AC14" s="641"/>
      <c r="AD14" s="641"/>
      <c r="AE14" s="641"/>
      <c r="AF14" s="641"/>
      <c r="AG14" s="642"/>
      <c r="AH14" s="30"/>
      <c r="AI14" s="30"/>
      <c r="AJ14" s="79">
        <v>5</v>
      </c>
      <c r="AK14" s="77"/>
      <c r="AL14" s="77"/>
      <c r="AM14" s="77"/>
      <c r="AN14" s="80">
        <f t="shared" si="1"/>
        <v>0</v>
      </c>
      <c r="AO14" s="8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</row>
    <row r="15" spans="1:59" ht="15.75" thickBot="1" x14ac:dyDescent="0.3">
      <c r="A15" s="30"/>
      <c r="B15" s="111"/>
      <c r="C15" s="91" t="s">
        <v>187</v>
      </c>
      <c r="D15" s="56" t="s">
        <v>13</v>
      </c>
      <c r="E15" s="58" t="str">
        <f>IF(OR(G15&gt;0,H15&gt;0),G15+J15+L15-N15+P15+T15+R15+H15+V15," ")</f>
        <v xml:space="preserve"> </v>
      </c>
      <c r="F15" s="56" t="s">
        <v>6</v>
      </c>
      <c r="G15" s="57"/>
      <c r="H15" s="57"/>
      <c r="I15" s="56" t="s">
        <v>7</v>
      </c>
      <c r="J15" s="58" t="str">
        <f>IF(G15+H15&gt;0,General!N12," ")</f>
        <v xml:space="preserve"> </v>
      </c>
      <c r="K15" s="56" t="s">
        <v>7</v>
      </c>
      <c r="L15" s="57"/>
      <c r="M15" s="56" t="s">
        <v>53</v>
      </c>
      <c r="N15" s="58"/>
      <c r="O15" s="56" t="s">
        <v>7</v>
      </c>
      <c r="P15" s="58"/>
      <c r="Q15" s="56" t="s">
        <v>7</v>
      </c>
      <c r="R15" s="58" t="str">
        <f>IF(G15+H15&gt;0,4*Feats!K28+1*Feats!Q49," ")</f>
        <v xml:space="preserve"> </v>
      </c>
      <c r="S15" s="56" t="s">
        <v>7</v>
      </c>
      <c r="T15" s="6"/>
      <c r="U15" s="56" t="s">
        <v>7</v>
      </c>
      <c r="V15" s="106"/>
      <c r="W15" s="640"/>
      <c r="X15" s="641"/>
      <c r="Y15" s="641"/>
      <c r="Z15" s="641"/>
      <c r="AA15" s="641"/>
      <c r="AB15" s="641"/>
      <c r="AC15" s="641"/>
      <c r="AD15" s="641"/>
      <c r="AE15" s="641"/>
      <c r="AF15" s="641"/>
      <c r="AG15" s="642"/>
      <c r="AH15" s="30"/>
      <c r="AI15" s="30"/>
      <c r="AJ15" s="79">
        <v>6</v>
      </c>
      <c r="AK15" s="77"/>
      <c r="AL15" s="77"/>
      <c r="AM15" s="77"/>
      <c r="AN15" s="80">
        <f t="shared" si="1"/>
        <v>0</v>
      </c>
      <c r="AO15" s="8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</row>
    <row r="16" spans="1:59" ht="15.75" thickBot="1" x14ac:dyDescent="0.3">
      <c r="A16" s="30"/>
      <c r="B16" s="111"/>
      <c r="C16" s="91" t="s">
        <v>186</v>
      </c>
      <c r="D16" s="56" t="s">
        <v>13</v>
      </c>
      <c r="E16" s="58" t="str">
        <f>IF(OR(G16&gt;0,H16&gt;0),G16+J16+L16-N16+P16+T16+R16+H16+V16," ")</f>
        <v xml:space="preserve"> </v>
      </c>
      <c r="F16" s="56" t="s">
        <v>6</v>
      </c>
      <c r="G16" s="57"/>
      <c r="H16" s="57"/>
      <c r="I16" s="56" t="s">
        <v>7</v>
      </c>
      <c r="J16" s="58" t="str">
        <f>IF(G16+H16&gt;0,General!N12," ")</f>
        <v xml:space="preserve"> </v>
      </c>
      <c r="K16" s="56" t="s">
        <v>7</v>
      </c>
      <c r="L16" s="57"/>
      <c r="M16" s="56" t="s">
        <v>53</v>
      </c>
      <c r="N16" s="58"/>
      <c r="O16" s="56" t="s">
        <v>7</v>
      </c>
      <c r="P16" s="58"/>
      <c r="Q16" s="56" t="s">
        <v>7</v>
      </c>
      <c r="R16" s="58" t="str">
        <f>IF(G16+H16&gt;0,4*Feats!K29+1*Feats!Q49," ")</f>
        <v xml:space="preserve"> </v>
      </c>
      <c r="S16" s="56" t="s">
        <v>7</v>
      </c>
      <c r="T16" s="6"/>
      <c r="U16" s="56" t="s">
        <v>7</v>
      </c>
      <c r="V16" s="106"/>
      <c r="W16" s="640"/>
      <c r="X16" s="641"/>
      <c r="Y16" s="641"/>
      <c r="Z16" s="641"/>
      <c r="AA16" s="641"/>
      <c r="AB16" s="641"/>
      <c r="AC16" s="641"/>
      <c r="AD16" s="641"/>
      <c r="AE16" s="641"/>
      <c r="AF16" s="641"/>
      <c r="AG16" s="642"/>
      <c r="AH16" s="30"/>
      <c r="AI16" s="30"/>
      <c r="AJ16" s="79">
        <v>7</v>
      </c>
      <c r="AK16" s="77"/>
      <c r="AL16" s="77"/>
      <c r="AM16" s="77"/>
      <c r="AN16" s="80">
        <f t="shared" si="1"/>
        <v>0</v>
      </c>
      <c r="AO16" s="8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</row>
    <row r="17" spans="1:59" ht="15.75" customHeight="1" thickBot="1" x14ac:dyDescent="0.3">
      <c r="A17" s="30"/>
      <c r="B17" s="115" t="s">
        <v>188</v>
      </c>
      <c r="C17" s="91" t="s">
        <v>104</v>
      </c>
      <c r="D17" s="56" t="s">
        <v>17</v>
      </c>
      <c r="E17" s="58">
        <f>G17+J17+L17-N17+P17+T17+R17+H17+V17</f>
        <v>-5</v>
      </c>
      <c r="F17" s="56" t="s">
        <v>6</v>
      </c>
      <c r="G17" s="57"/>
      <c r="H17" s="113"/>
      <c r="I17" s="56" t="s">
        <v>7</v>
      </c>
      <c r="J17" s="58">
        <f>General!N16</f>
        <v>-5</v>
      </c>
      <c r="K17" s="56" t="s">
        <v>7</v>
      </c>
      <c r="L17" s="57"/>
      <c r="M17" s="56" t="s">
        <v>53</v>
      </c>
      <c r="N17" s="58"/>
      <c r="O17" s="56" t="s">
        <v>7</v>
      </c>
      <c r="P17" s="58">
        <f>IF(G12+H12&gt;4,2,0)+IF(G50+H50&gt;4,2,0)+IF(G65+H65&gt;4,2,0)+IF(G30+H30&gt;4,2,0)+IF(G32+H32&gt;4,2,0)+IF(G42+H42&gt;4,2,0)</f>
        <v>0</v>
      </c>
      <c r="Q17" s="56" t="s">
        <v>7</v>
      </c>
      <c r="R17" s="58">
        <f>4*Feats!K30+Feats!B31*2+Feats!H27*2+Feats!H36*2+Feats!Q17*1+IF(General!B1="Asari",2,0)+IF(General!B1="Krogan",-4,0)</f>
        <v>0</v>
      </c>
      <c r="S17" s="56" t="s">
        <v>7</v>
      </c>
      <c r="T17" s="6"/>
      <c r="U17" s="56" t="s">
        <v>7</v>
      </c>
      <c r="V17" s="106"/>
      <c r="W17" s="640" t="s">
        <v>209</v>
      </c>
      <c r="X17" s="641"/>
      <c r="Y17" s="641"/>
      <c r="Z17" s="641"/>
      <c r="AA17" s="641"/>
      <c r="AB17" s="641"/>
      <c r="AC17" s="641"/>
      <c r="AD17" s="641"/>
      <c r="AE17" s="641"/>
      <c r="AF17" s="641"/>
      <c r="AG17" s="642"/>
      <c r="AH17" s="30"/>
      <c r="AI17" s="30"/>
      <c r="AJ17" s="79">
        <v>8</v>
      </c>
      <c r="AK17" s="99"/>
      <c r="AL17" s="99"/>
      <c r="AM17" s="99"/>
      <c r="AN17" s="80">
        <f t="shared" si="1"/>
        <v>0</v>
      </c>
      <c r="AO17" s="8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</row>
    <row r="18" spans="1:59" ht="15.75" customHeight="1" thickBot="1" x14ac:dyDescent="0.3">
      <c r="A18" s="30"/>
      <c r="B18" s="111"/>
      <c r="C18" s="91" t="s">
        <v>105</v>
      </c>
      <c r="D18" s="56" t="s">
        <v>17</v>
      </c>
      <c r="E18" s="58">
        <f>G18+J18+L18-N18+P18+T18+R18+H18+V18</f>
        <v>-5</v>
      </c>
      <c r="F18" s="56" t="s">
        <v>6</v>
      </c>
      <c r="G18" s="57"/>
      <c r="H18" s="57"/>
      <c r="I18" s="56" t="s">
        <v>7</v>
      </c>
      <c r="J18" s="58">
        <f>IF(General!S15="Weak Personality",-1*General!N16,General!N16)</f>
        <v>-5</v>
      </c>
      <c r="K18" s="56" t="s">
        <v>7</v>
      </c>
      <c r="L18" s="57"/>
      <c r="M18" s="56" t="s">
        <v>53</v>
      </c>
      <c r="N18" s="58"/>
      <c r="O18" s="56" t="s">
        <v>7</v>
      </c>
      <c r="P18" s="58">
        <f>IF(G12+H12&gt;4,2,0)+IF(G46+H46&gt;4,2,0)</f>
        <v>0</v>
      </c>
      <c r="Q18" s="56" t="s">
        <v>7</v>
      </c>
      <c r="R18" s="58">
        <f>4*Feats!K31+Feats!E14*2+1*Feats!K17</f>
        <v>0</v>
      </c>
      <c r="S18" s="56" t="s">
        <v>7</v>
      </c>
      <c r="T18" s="6"/>
      <c r="U18" s="56" t="s">
        <v>7</v>
      </c>
      <c r="V18" s="106"/>
      <c r="W18" s="640" t="s">
        <v>132</v>
      </c>
      <c r="X18" s="641"/>
      <c r="Y18" s="641"/>
      <c r="Z18" s="641"/>
      <c r="AA18" s="641"/>
      <c r="AB18" s="641"/>
      <c r="AC18" s="641"/>
      <c r="AD18" s="641"/>
      <c r="AE18" s="641"/>
      <c r="AF18" s="641"/>
      <c r="AG18" s="642"/>
      <c r="AH18" s="30"/>
      <c r="AI18" s="30"/>
      <c r="AJ18" s="79">
        <v>9</v>
      </c>
      <c r="AK18" s="77"/>
      <c r="AL18" s="77"/>
      <c r="AM18" s="77"/>
      <c r="AN18" s="80">
        <f t="shared" si="1"/>
        <v>0</v>
      </c>
      <c r="AO18" s="8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</row>
    <row r="19" spans="1:59" ht="15.75" thickBot="1" x14ac:dyDescent="0.3">
      <c r="A19" s="30"/>
      <c r="B19" s="111"/>
      <c r="C19" s="91" t="s">
        <v>185</v>
      </c>
      <c r="D19" s="56" t="s">
        <v>13</v>
      </c>
      <c r="E19" s="58" t="str">
        <f>IF(OR(G19&gt;0,H19&gt;0),G19+J19+L19-N19+P19+T19+R19+H19+V19," ")</f>
        <v xml:space="preserve"> </v>
      </c>
      <c r="F19" s="56" t="s">
        <v>6</v>
      </c>
      <c r="G19" s="57"/>
      <c r="H19" s="57"/>
      <c r="I19" s="56" t="s">
        <v>7</v>
      </c>
      <c r="J19" s="58" t="str">
        <f>IF((G19+H19)&gt;0,General!N12," ")</f>
        <v xml:space="preserve"> </v>
      </c>
      <c r="K19" s="56" t="s">
        <v>7</v>
      </c>
      <c r="L19" s="57"/>
      <c r="M19" s="56" t="s">
        <v>53</v>
      </c>
      <c r="N19" s="58"/>
      <c r="O19" s="56" t="s">
        <v>7</v>
      </c>
      <c r="P19" s="58" t="str">
        <f>IF(OR(G19&gt;0,H19&gt;0),IF(G41+H41&gt;4,2,0)," ")</f>
        <v xml:space="preserve"> </v>
      </c>
      <c r="Q19" s="56" t="s">
        <v>7</v>
      </c>
      <c r="R19" s="58" t="str">
        <f>IF(G19+H19&gt;0,4*Feats!K32+IF(General!B1="Quarian",2,0)+1*Feats!Q49," ")</f>
        <v xml:space="preserve"> </v>
      </c>
      <c r="S19" s="56" t="s">
        <v>7</v>
      </c>
      <c r="T19" s="6"/>
      <c r="U19" s="56" t="s">
        <v>7</v>
      </c>
      <c r="V19" s="106"/>
      <c r="W19" s="640"/>
      <c r="X19" s="641"/>
      <c r="Y19" s="641"/>
      <c r="Z19" s="641"/>
      <c r="AA19" s="641"/>
      <c r="AB19" s="641"/>
      <c r="AC19" s="641"/>
      <c r="AD19" s="641"/>
      <c r="AE19" s="641"/>
      <c r="AF19" s="641"/>
      <c r="AG19" s="642"/>
      <c r="AH19" s="30"/>
      <c r="AI19" s="30"/>
      <c r="AJ19" s="79">
        <v>10</v>
      </c>
      <c r="AK19" s="77"/>
      <c r="AL19" s="77"/>
      <c r="AM19" s="77"/>
      <c r="AN19" s="80">
        <f t="shared" si="1"/>
        <v>0</v>
      </c>
      <c r="AO19" s="8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</row>
    <row r="20" spans="1:59" ht="15.75" thickBot="1" x14ac:dyDescent="0.3">
      <c r="A20" s="30"/>
      <c r="B20" s="111"/>
      <c r="C20" s="91" t="s">
        <v>210</v>
      </c>
      <c r="D20" s="56" t="s">
        <v>15</v>
      </c>
      <c r="E20" s="58">
        <f>G20+J20+L20-N20+P20+T20+R20+H20+V20</f>
        <v>-5</v>
      </c>
      <c r="F20" s="56" t="s">
        <v>6</v>
      </c>
      <c r="G20" s="57"/>
      <c r="H20" s="57"/>
      <c r="I20" s="56" t="s">
        <v>7</v>
      </c>
      <c r="J20" s="58">
        <f>General!N14</f>
        <v>-5</v>
      </c>
      <c r="K20" s="56" t="s">
        <v>7</v>
      </c>
      <c r="L20" s="57"/>
      <c r="M20" s="56" t="s">
        <v>53</v>
      </c>
      <c r="N20" s="58"/>
      <c r="O20" s="56" t="s">
        <v>7</v>
      </c>
      <c r="P20" s="58"/>
      <c r="Q20" s="56" t="s">
        <v>7</v>
      </c>
      <c r="R20" s="58">
        <f>4*Feats!K33</f>
        <v>0</v>
      </c>
      <c r="S20" s="56" t="s">
        <v>7</v>
      </c>
      <c r="T20" s="6"/>
      <c r="U20" s="56" t="s">
        <v>7</v>
      </c>
      <c r="V20" s="106"/>
      <c r="W20" s="640"/>
      <c r="X20" s="641"/>
      <c r="Y20" s="641"/>
      <c r="Z20" s="641"/>
      <c r="AA20" s="641"/>
      <c r="AB20" s="641"/>
      <c r="AC20" s="641"/>
      <c r="AD20" s="641"/>
      <c r="AE20" s="641"/>
      <c r="AF20" s="641"/>
      <c r="AG20" s="642"/>
      <c r="AH20" s="30"/>
      <c r="AI20" s="30"/>
      <c r="AJ20" s="79">
        <v>11</v>
      </c>
      <c r="AK20" s="77"/>
      <c r="AL20" s="77"/>
      <c r="AM20" s="77"/>
      <c r="AN20" s="80">
        <f t="shared" si="1"/>
        <v>0</v>
      </c>
      <c r="AO20" s="8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</row>
    <row r="21" spans="1:59" ht="15.75" thickBot="1" x14ac:dyDescent="0.3">
      <c r="A21" s="30"/>
      <c r="B21" s="111"/>
      <c r="C21" s="91" t="s">
        <v>211</v>
      </c>
      <c r="D21" s="56" t="s">
        <v>17</v>
      </c>
      <c r="E21" s="58">
        <f t="shared" ref="E21:E22" si="2">G21+J21+L21-N21+P21+T21+R21+H21+V21</f>
        <v>-5</v>
      </c>
      <c r="F21" s="56" t="s">
        <v>6</v>
      </c>
      <c r="G21" s="57"/>
      <c r="H21" s="57"/>
      <c r="I21" s="56" t="s">
        <v>7</v>
      </c>
      <c r="J21" s="58">
        <f>General!N16</f>
        <v>-5</v>
      </c>
      <c r="K21" s="56" t="s">
        <v>7</v>
      </c>
      <c r="L21" s="57"/>
      <c r="M21" s="56" t="s">
        <v>53</v>
      </c>
      <c r="N21" s="58"/>
      <c r="O21" s="56" t="s">
        <v>7</v>
      </c>
      <c r="P21" s="58"/>
      <c r="Q21" s="56" t="s">
        <v>7</v>
      </c>
      <c r="R21" s="58">
        <f>4*Feats!K34+Feats!Q17*1</f>
        <v>0</v>
      </c>
      <c r="S21" s="56" t="s">
        <v>7</v>
      </c>
      <c r="T21" s="6"/>
      <c r="U21" s="56" t="s">
        <v>7</v>
      </c>
      <c r="V21" s="106"/>
      <c r="W21" s="640"/>
      <c r="X21" s="641"/>
      <c r="Y21" s="641"/>
      <c r="Z21" s="641"/>
      <c r="AA21" s="641"/>
      <c r="AB21" s="641"/>
      <c r="AC21" s="641"/>
      <c r="AD21" s="641"/>
      <c r="AE21" s="641"/>
      <c r="AF21" s="641"/>
      <c r="AG21" s="642"/>
      <c r="AH21" s="30"/>
      <c r="AI21" s="30"/>
      <c r="AJ21" s="79">
        <v>12</v>
      </c>
      <c r="AK21" s="99"/>
      <c r="AL21" s="99"/>
      <c r="AM21" s="99"/>
      <c r="AN21" s="80">
        <f t="shared" si="1"/>
        <v>0</v>
      </c>
      <c r="AO21" s="8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</row>
    <row r="22" spans="1:59" ht="15.75" thickBot="1" x14ac:dyDescent="0.3">
      <c r="A22" s="30"/>
      <c r="B22" s="111"/>
      <c r="C22" s="91" t="s">
        <v>106</v>
      </c>
      <c r="D22" s="56" t="s">
        <v>17</v>
      </c>
      <c r="E22" s="58">
        <f t="shared" si="2"/>
        <v>-5</v>
      </c>
      <c r="F22" s="56" t="s">
        <v>6</v>
      </c>
      <c r="G22" s="57"/>
      <c r="H22" s="57"/>
      <c r="I22" s="56" t="s">
        <v>7</v>
      </c>
      <c r="J22" s="58">
        <f>General!N16</f>
        <v>-5</v>
      </c>
      <c r="K22" s="56" t="s">
        <v>7</v>
      </c>
      <c r="L22" s="57"/>
      <c r="M22" s="56" t="s">
        <v>53</v>
      </c>
      <c r="N22" s="58"/>
      <c r="O22" s="56" t="s">
        <v>7</v>
      </c>
      <c r="P22" s="58">
        <f>IF(G34+H34&gt;4,2,0)+IF(G54+H54&gt;4,2,0)++IF(G37+H37&gt;4,2,0)</f>
        <v>0</v>
      </c>
      <c r="Q22" s="56" t="s">
        <v>7</v>
      </c>
      <c r="R22" s="58">
        <f>4*Feats!K35+Feats!H15*1+Feats!Q17*1+1*Feats!H13</f>
        <v>0</v>
      </c>
      <c r="S22" s="56" t="s">
        <v>7</v>
      </c>
      <c r="T22" s="6"/>
      <c r="U22" s="56" t="s">
        <v>7</v>
      </c>
      <c r="V22" s="106"/>
      <c r="W22" s="640"/>
      <c r="X22" s="641"/>
      <c r="Y22" s="641"/>
      <c r="Z22" s="641"/>
      <c r="AA22" s="641"/>
      <c r="AB22" s="641"/>
      <c r="AC22" s="641"/>
      <c r="AD22" s="641"/>
      <c r="AE22" s="641"/>
      <c r="AF22" s="641"/>
      <c r="AG22" s="642"/>
      <c r="AH22" s="30"/>
      <c r="AI22" s="30"/>
      <c r="AJ22" s="79">
        <v>13</v>
      </c>
      <c r="AK22" s="99"/>
      <c r="AL22" s="99"/>
      <c r="AM22" s="99"/>
      <c r="AN22" s="80">
        <f t="shared" si="1"/>
        <v>0</v>
      </c>
      <c r="AO22" s="8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</row>
    <row r="23" spans="1:59" ht="15.75" customHeight="1" thickBot="1" x14ac:dyDescent="0.3">
      <c r="A23" s="30"/>
      <c r="B23" s="111"/>
      <c r="C23" s="91" t="s">
        <v>184</v>
      </c>
      <c r="D23" s="56" t="s">
        <v>13</v>
      </c>
      <c r="E23" s="58" t="str">
        <f>IF(OR(G23&gt;0,H23&gt;0),G23+J23+L23-N23+P23+T23+R23+H23+V23," ")</f>
        <v xml:space="preserve"> </v>
      </c>
      <c r="F23" s="56" t="s">
        <v>6</v>
      </c>
      <c r="G23" s="57"/>
      <c r="H23" s="57"/>
      <c r="I23" s="56" t="s">
        <v>7</v>
      </c>
      <c r="J23" s="58" t="str">
        <f>IF(G23+H23&gt;0,General!N12," ")</f>
        <v xml:space="preserve"> </v>
      </c>
      <c r="K23" s="56" t="s">
        <v>7</v>
      </c>
      <c r="L23" s="57"/>
      <c r="M23" s="56" t="s">
        <v>53</v>
      </c>
      <c r="N23" s="58"/>
      <c r="O23" s="56" t="s">
        <v>7</v>
      </c>
      <c r="P23" s="58"/>
      <c r="Q23" s="56" t="s">
        <v>7</v>
      </c>
      <c r="R23" s="58" t="str">
        <f>IF(G23+H23&gt;0,4*Feats!K36+1*Feats!Q49," ")</f>
        <v xml:space="preserve"> </v>
      </c>
      <c r="S23" s="56" t="s">
        <v>7</v>
      </c>
      <c r="T23" s="6"/>
      <c r="U23" s="56" t="s">
        <v>7</v>
      </c>
      <c r="V23" s="106"/>
      <c r="W23" s="640"/>
      <c r="X23" s="641"/>
      <c r="Y23" s="641"/>
      <c r="Z23" s="641"/>
      <c r="AA23" s="641"/>
      <c r="AB23" s="641"/>
      <c r="AC23" s="641"/>
      <c r="AD23" s="641"/>
      <c r="AE23" s="641"/>
      <c r="AF23" s="641"/>
      <c r="AG23" s="642"/>
      <c r="AH23" s="30"/>
      <c r="AI23" s="30"/>
      <c r="AJ23" s="79">
        <v>14</v>
      </c>
      <c r="AK23" s="77"/>
      <c r="AL23" s="77"/>
      <c r="AM23" s="77"/>
      <c r="AN23" s="80">
        <f t="shared" si="1"/>
        <v>0</v>
      </c>
      <c r="AO23" s="8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</row>
    <row r="24" spans="1:59" ht="15.75" thickBot="1" x14ac:dyDescent="0.3">
      <c r="A24" s="30"/>
      <c r="B24" s="111"/>
      <c r="C24" s="91" t="s">
        <v>267</v>
      </c>
      <c r="D24" s="56" t="s">
        <v>13</v>
      </c>
      <c r="E24" s="58" t="str">
        <f>IF(OR(G24&gt;0,H24&gt;0),G24+J24+L24-N24+P24+T24+R24+H24+V24," ")</f>
        <v xml:space="preserve"> </v>
      </c>
      <c r="F24" s="56" t="s">
        <v>6</v>
      </c>
      <c r="G24" s="57"/>
      <c r="H24" s="57"/>
      <c r="I24" s="56" t="s">
        <v>7</v>
      </c>
      <c r="J24" s="58" t="str">
        <f>IF(G24+H24&gt;0,General!N12," ")</f>
        <v xml:space="preserve"> </v>
      </c>
      <c r="K24" s="56" t="s">
        <v>7</v>
      </c>
      <c r="L24" s="57"/>
      <c r="M24" s="56" t="s">
        <v>53</v>
      </c>
      <c r="N24" s="58"/>
      <c r="O24" s="56" t="s">
        <v>7</v>
      </c>
      <c r="P24" s="58"/>
      <c r="Q24" s="56" t="s">
        <v>7</v>
      </c>
      <c r="R24" s="58" t="str">
        <f>IF(G24+H24&gt;0,4*Feats!K37+IF(General!B1="Turian",2,0)," ")</f>
        <v xml:space="preserve"> </v>
      </c>
      <c r="S24" s="56" t="s">
        <v>7</v>
      </c>
      <c r="T24" s="6"/>
      <c r="U24" s="56" t="s">
        <v>7</v>
      </c>
      <c r="V24" s="106"/>
      <c r="W24" s="640"/>
      <c r="X24" s="641"/>
      <c r="Y24" s="641"/>
      <c r="Z24" s="641"/>
      <c r="AA24" s="641"/>
      <c r="AB24" s="641"/>
      <c r="AC24" s="641"/>
      <c r="AD24" s="641"/>
      <c r="AE24" s="641"/>
      <c r="AF24" s="641"/>
      <c r="AG24" s="642"/>
      <c r="AH24" s="30"/>
      <c r="AI24" s="30"/>
      <c r="AJ24" s="79">
        <v>15</v>
      </c>
      <c r="AK24" s="77"/>
      <c r="AL24" s="77"/>
      <c r="AM24" s="77"/>
      <c r="AN24" s="80">
        <f t="shared" si="1"/>
        <v>0</v>
      </c>
      <c r="AO24" s="8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</row>
    <row r="25" spans="1:59" ht="15.75" thickBot="1" x14ac:dyDescent="0.3">
      <c r="A25" s="30"/>
      <c r="B25" s="111"/>
      <c r="C25" s="91" t="s">
        <v>107</v>
      </c>
      <c r="D25" s="56" t="s">
        <v>9</v>
      </c>
      <c r="E25" s="58">
        <f>G25+J25+L25-N25+P25+T25+R25+H25+V25</f>
        <v>-5</v>
      </c>
      <c r="F25" s="56" t="s">
        <v>6</v>
      </c>
      <c r="G25" s="57"/>
      <c r="H25" s="57"/>
      <c r="I25" s="56" t="s">
        <v>7</v>
      </c>
      <c r="J25" s="58">
        <f>General!N8</f>
        <v>-5</v>
      </c>
      <c r="K25" s="56" t="s">
        <v>7</v>
      </c>
      <c r="L25" s="57"/>
      <c r="M25" s="56" t="s">
        <v>53</v>
      </c>
      <c r="N25" s="58">
        <f>-1*IF(General!AE2="Heavy",-6,IF(General!AE2="Medium",-3,0))</f>
        <v>0</v>
      </c>
      <c r="O25" s="56" t="s">
        <v>7</v>
      </c>
      <c r="P25" s="58"/>
      <c r="Q25" s="56" t="s">
        <v>7</v>
      </c>
      <c r="R25" s="58">
        <f>4*Feats!K38+Feats!Q10*2+IF(General!B1="Vorcha",5,0)</f>
        <v>0</v>
      </c>
      <c r="S25" s="56" t="s">
        <v>7</v>
      </c>
      <c r="T25" s="58">
        <f>IF(General!B2="Fine",16,IF(General!B2="Diminutive",12,IF(General!B2="Tiny", 8,IF(General!B2="Small",4,IF(General!B2="Medium",0,IF(General!B2="Large",-4,IF(General!B2="Huge",-8,IF(General!B2="Gargantuan",-12,IF(General!B2="Colossal",-16,0)))))))))</f>
        <v>0</v>
      </c>
      <c r="U25" s="56" t="s">
        <v>7</v>
      </c>
      <c r="V25" s="106"/>
      <c r="W25" s="640"/>
      <c r="X25" s="641"/>
      <c r="Y25" s="641"/>
      <c r="Z25" s="641"/>
      <c r="AA25" s="641"/>
      <c r="AB25" s="641"/>
      <c r="AC25" s="641"/>
      <c r="AD25" s="641"/>
      <c r="AE25" s="641"/>
      <c r="AF25" s="641"/>
      <c r="AG25" s="642"/>
      <c r="AH25" s="30"/>
      <c r="AI25" s="30"/>
      <c r="AJ25" s="79">
        <v>16</v>
      </c>
      <c r="AK25" s="77"/>
      <c r="AL25" s="77"/>
      <c r="AM25" s="77"/>
      <c r="AN25" s="80">
        <f t="shared" si="1"/>
        <v>0</v>
      </c>
      <c r="AO25" s="8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</row>
    <row r="26" spans="1:59" ht="15.75" thickBot="1" x14ac:dyDescent="0.3">
      <c r="A26" s="30"/>
      <c r="B26" s="115" t="s">
        <v>188</v>
      </c>
      <c r="C26" s="91" t="s">
        <v>108</v>
      </c>
      <c r="D26" s="56" t="s">
        <v>17</v>
      </c>
      <c r="E26" s="58">
        <f>G26+J26+L26-N26+P26+T26+R26+H26+V26</f>
        <v>-5</v>
      </c>
      <c r="F26" s="56" t="s">
        <v>6</v>
      </c>
      <c r="G26" s="57"/>
      <c r="H26" s="113"/>
      <c r="I26" s="56" t="s">
        <v>7</v>
      </c>
      <c r="J26" s="58">
        <f>IF(General!S15="Ugly",-1*General!N16,General!N16)</f>
        <v>-5</v>
      </c>
      <c r="K26" s="56" t="s">
        <v>7</v>
      </c>
      <c r="L26" s="57"/>
      <c r="M26" s="56" t="s">
        <v>53</v>
      </c>
      <c r="N26" s="58"/>
      <c r="O26" s="56" t="s">
        <v>7</v>
      </c>
      <c r="P26" s="58">
        <f>IF(G12+H12&gt;4,2,0)</f>
        <v>0</v>
      </c>
      <c r="Q26" s="56" t="s">
        <v>7</v>
      </c>
      <c r="R26" s="58">
        <f>4*Feats!K39+IF(Feats!H14=1,General!N6,0)+Feats!Q17*1+IF(General!B1="Krogan",2,0)</f>
        <v>0</v>
      </c>
      <c r="S26" s="56" t="s">
        <v>7</v>
      </c>
      <c r="T26" s="58">
        <f>IF(General!B2="Fine",-16,IF(General!B2="Diminutive",-12,IF(General!B2="Tiny", -8,IF(General!B2="Small",-4,IF(General!B2="Medium",0,IF(General!B2="Large",4,IF(General!B2="Huge",8,IF(General!B2="Gargantuan",12,IF(General!B2="Colossal",16,0)))))))))</f>
        <v>0</v>
      </c>
      <c r="U26" s="56" t="s">
        <v>7</v>
      </c>
      <c r="V26" s="106"/>
      <c r="W26" s="640"/>
      <c r="X26" s="641"/>
      <c r="Y26" s="641"/>
      <c r="Z26" s="641"/>
      <c r="AA26" s="641"/>
      <c r="AB26" s="641"/>
      <c r="AC26" s="641"/>
      <c r="AD26" s="641"/>
      <c r="AE26" s="641"/>
      <c r="AF26" s="641"/>
      <c r="AG26" s="642"/>
      <c r="AH26" s="30"/>
      <c r="AI26" s="30"/>
      <c r="AJ26" s="79">
        <v>17</v>
      </c>
      <c r="AK26" s="77"/>
      <c r="AL26" s="77"/>
      <c r="AM26" s="77"/>
      <c r="AN26" s="80">
        <f t="shared" si="1"/>
        <v>0</v>
      </c>
      <c r="AO26" s="8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</row>
    <row r="27" spans="1:59" ht="15.75" thickBot="1" x14ac:dyDescent="0.3">
      <c r="A27" s="30"/>
      <c r="B27" s="111"/>
      <c r="C27" s="91" t="s">
        <v>212</v>
      </c>
      <c r="D27" s="56" t="s">
        <v>13</v>
      </c>
      <c r="E27" s="58" t="str">
        <f>IF(OR(G27&gt;0,H27&gt;0),G27+J27+L27-N27+P27+T27+R27+H27+V27," ")</f>
        <v xml:space="preserve"> </v>
      </c>
      <c r="F27" s="56" t="s">
        <v>6</v>
      </c>
      <c r="G27" s="57"/>
      <c r="H27" s="57"/>
      <c r="I27" s="56" t="s">
        <v>7</v>
      </c>
      <c r="J27" s="58" t="str">
        <f>IF(G27+H27&gt;0,General!N12," ")</f>
        <v xml:space="preserve"> </v>
      </c>
      <c r="K27" s="56" t="s">
        <v>7</v>
      </c>
      <c r="L27" s="57"/>
      <c r="M27" s="56" t="s">
        <v>53</v>
      </c>
      <c r="N27" s="58"/>
      <c r="O27" s="56" t="s">
        <v>7</v>
      </c>
      <c r="P27" s="58"/>
      <c r="Q27" s="56" t="s">
        <v>7</v>
      </c>
      <c r="R27" s="58" t="str">
        <f>IF(G27+H27&gt;0,4*Feats!K40+Feats!H15*1+Feats!B33*2," ")</f>
        <v xml:space="preserve"> </v>
      </c>
      <c r="S27" s="56" t="s">
        <v>7</v>
      </c>
      <c r="T27" s="6"/>
      <c r="U27" s="56" t="s">
        <v>7</v>
      </c>
      <c r="V27" s="106"/>
      <c r="W27" s="640"/>
      <c r="X27" s="641"/>
      <c r="Y27" s="641"/>
      <c r="Z27" s="641"/>
      <c r="AA27" s="641"/>
      <c r="AB27" s="641"/>
      <c r="AC27" s="641"/>
      <c r="AD27" s="641"/>
      <c r="AE27" s="641"/>
      <c r="AF27" s="641"/>
      <c r="AG27" s="642"/>
      <c r="AH27" s="30"/>
      <c r="AI27" s="30"/>
      <c r="AJ27" s="79">
        <v>18</v>
      </c>
      <c r="AK27" s="77"/>
      <c r="AL27" s="77"/>
      <c r="AM27" s="77"/>
      <c r="AN27" s="80">
        <f t="shared" si="1"/>
        <v>0</v>
      </c>
      <c r="AO27" s="8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</row>
    <row r="28" spans="1:59" ht="15.75" thickBot="1" x14ac:dyDescent="0.3">
      <c r="A28" s="30"/>
      <c r="B28" s="111"/>
      <c r="C28" s="91" t="s">
        <v>109</v>
      </c>
      <c r="D28" s="56" t="s">
        <v>5</v>
      </c>
      <c r="E28" s="58">
        <f>G28+J28+L28-N28+P28+T28+R28+H28+V28</f>
        <v>-5</v>
      </c>
      <c r="F28" s="56" t="s">
        <v>6</v>
      </c>
      <c r="G28" s="57"/>
      <c r="H28" s="57"/>
      <c r="I28" s="56" t="s">
        <v>7</v>
      </c>
      <c r="J28" s="58">
        <f>General!N6</f>
        <v>-5</v>
      </c>
      <c r="K28" s="56" t="s">
        <v>7</v>
      </c>
      <c r="L28" s="57"/>
      <c r="M28" s="56" t="s">
        <v>53</v>
      </c>
      <c r="N28" s="58">
        <f>-1*IF(General!AE2="Heavy",-6,IF(General!AE2="Medium",-3,0))</f>
        <v>0</v>
      </c>
      <c r="O28" s="56" t="s">
        <v>7</v>
      </c>
      <c r="P28" s="58">
        <f>IF(G70+H70&gt;4,2,0)</f>
        <v>0</v>
      </c>
      <c r="Q28" s="56" t="s">
        <v>7</v>
      </c>
      <c r="R28" s="58">
        <f>4*Feats!K41+Feats!B11*2</f>
        <v>0</v>
      </c>
      <c r="S28" s="56" t="s">
        <v>7</v>
      </c>
      <c r="T28" s="58">
        <f>IF(General!Q5&gt;30,(General!Q5-30)*2/5,IF(General!Q5&lt;30,(30-General!Q5)*-3/5,0))</f>
        <v>0</v>
      </c>
      <c r="U28" s="56" t="s">
        <v>7</v>
      </c>
      <c r="V28" s="106"/>
      <c r="W28" s="640"/>
      <c r="X28" s="641"/>
      <c r="Y28" s="641"/>
      <c r="Z28" s="641"/>
      <c r="AA28" s="641"/>
      <c r="AB28" s="641"/>
      <c r="AC28" s="641"/>
      <c r="AD28" s="641"/>
      <c r="AE28" s="641"/>
      <c r="AF28" s="641"/>
      <c r="AG28" s="642"/>
      <c r="AH28" s="30"/>
      <c r="AI28" s="30"/>
      <c r="AJ28" s="79">
        <v>19</v>
      </c>
      <c r="AK28" s="99"/>
      <c r="AL28" s="99"/>
      <c r="AM28" s="99"/>
      <c r="AN28" s="80">
        <f t="shared" si="1"/>
        <v>0</v>
      </c>
      <c r="AO28" s="8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</row>
    <row r="29" spans="1:59" ht="15.75" thickBot="1" x14ac:dyDescent="0.3">
      <c r="A29" s="30"/>
      <c r="B29" s="111"/>
      <c r="C29" s="91" t="s">
        <v>213</v>
      </c>
      <c r="D29" s="56" t="s">
        <v>13</v>
      </c>
      <c r="E29" s="58" t="str">
        <f>IF(OR(G29&gt;0,H29&gt;0),G29+J29+L29-N29+P29+T29+R29+H29+V29," ")</f>
        <v xml:space="preserve"> </v>
      </c>
      <c r="F29" s="56" t="s">
        <v>6</v>
      </c>
      <c r="G29" s="57"/>
      <c r="H29" s="57"/>
      <c r="I29" s="56" t="s">
        <v>7</v>
      </c>
      <c r="J29" s="58" t="str">
        <f>IF(G29+H29&gt;0,General!$N$12," ")</f>
        <v xml:space="preserve"> </v>
      </c>
      <c r="K29" s="56" t="s">
        <v>7</v>
      </c>
      <c r="L29" s="57"/>
      <c r="M29" s="56" t="s">
        <v>53</v>
      </c>
      <c r="N29" s="58"/>
      <c r="O29" s="56" t="s">
        <v>7</v>
      </c>
      <c r="P29" s="58"/>
      <c r="Q29" s="56" t="s">
        <v>7</v>
      </c>
      <c r="R29" s="58" t="str">
        <f>IF(G29+H29&gt;0,4*Feats!K42," ")</f>
        <v xml:space="preserve"> </v>
      </c>
      <c r="S29" s="56" t="s">
        <v>7</v>
      </c>
      <c r="T29" s="6"/>
      <c r="U29" s="56" t="s">
        <v>7</v>
      </c>
      <c r="V29" s="106"/>
      <c r="W29" s="640"/>
      <c r="X29" s="641"/>
      <c r="Y29" s="641"/>
      <c r="Z29" s="641"/>
      <c r="AA29" s="641"/>
      <c r="AB29" s="641"/>
      <c r="AC29" s="641"/>
      <c r="AD29" s="641"/>
      <c r="AE29" s="641"/>
      <c r="AF29" s="641"/>
      <c r="AG29" s="642"/>
      <c r="AH29" s="30"/>
      <c r="AI29" s="30"/>
      <c r="AJ29" s="79">
        <v>20</v>
      </c>
      <c r="AK29" s="77"/>
      <c r="AL29" s="77"/>
      <c r="AM29" s="77"/>
      <c r="AN29" s="80">
        <f t="shared" si="1"/>
        <v>0</v>
      </c>
      <c r="AO29" s="8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</row>
    <row r="30" spans="1:59" ht="15.75" thickBot="1" x14ac:dyDescent="0.3">
      <c r="A30" s="30"/>
      <c r="B30" s="111"/>
      <c r="C30" s="91" t="s">
        <v>206</v>
      </c>
      <c r="D30" s="56" t="s">
        <v>13</v>
      </c>
      <c r="E30" s="58" t="str">
        <f t="shared" ref="E30:E42" si="3">IF(OR(G30&gt;0,H30&gt;0),G30+J30+L30-N30+P30+T30+R30+H30+V30," ")</f>
        <v xml:space="preserve"> </v>
      </c>
      <c r="F30" s="56" t="s">
        <v>6</v>
      </c>
      <c r="G30" s="57"/>
      <c r="H30" s="57"/>
      <c r="I30" s="56" t="s">
        <v>7</v>
      </c>
      <c r="J30" s="58" t="str">
        <f>IF(G30+H30&gt;0,General!$N$12," ")</f>
        <v xml:space="preserve"> </v>
      </c>
      <c r="K30" s="56" t="s">
        <v>7</v>
      </c>
      <c r="L30" s="57"/>
      <c r="M30" s="56" t="s">
        <v>53</v>
      </c>
      <c r="N30" s="58"/>
      <c r="O30" s="56" t="s">
        <v>7</v>
      </c>
      <c r="P30" s="58"/>
      <c r="Q30" s="56" t="s">
        <v>7</v>
      </c>
      <c r="R30" s="58" t="str">
        <f>IF(G30+H30&gt;0,4*Feats!K43," ")</f>
        <v xml:space="preserve"> </v>
      </c>
      <c r="S30" s="56" t="s">
        <v>7</v>
      </c>
      <c r="T30" s="6"/>
      <c r="U30" s="56" t="s">
        <v>7</v>
      </c>
      <c r="V30" s="106"/>
      <c r="W30" s="640"/>
      <c r="X30" s="641"/>
      <c r="Y30" s="641"/>
      <c r="Z30" s="641"/>
      <c r="AA30" s="641"/>
      <c r="AB30" s="641"/>
      <c r="AC30" s="641"/>
      <c r="AD30" s="641"/>
      <c r="AE30" s="641"/>
      <c r="AF30" s="641"/>
      <c r="AG30" s="642"/>
      <c r="AH30" s="30"/>
      <c r="AI30" s="30"/>
      <c r="AJ30" s="30"/>
      <c r="AK30" s="30"/>
      <c r="AL30" s="30"/>
      <c r="AM30" s="30"/>
      <c r="AN30" s="30"/>
      <c r="AO30" s="8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</row>
    <row r="31" spans="1:59" ht="15.75" thickBot="1" x14ac:dyDescent="0.3">
      <c r="A31" s="30"/>
      <c r="B31" s="111"/>
      <c r="C31" s="91" t="s">
        <v>214</v>
      </c>
      <c r="D31" s="56" t="s">
        <v>13</v>
      </c>
      <c r="E31" s="58" t="str">
        <f t="shared" si="3"/>
        <v xml:space="preserve"> </v>
      </c>
      <c r="F31" s="56" t="s">
        <v>6</v>
      </c>
      <c r="G31" s="57"/>
      <c r="H31" s="57"/>
      <c r="I31" s="56" t="s">
        <v>7</v>
      </c>
      <c r="J31" s="58" t="str">
        <f>IF(G31+H31&gt;0,General!$N$12," ")</f>
        <v xml:space="preserve"> </v>
      </c>
      <c r="K31" s="56" t="s">
        <v>7</v>
      </c>
      <c r="L31" s="57"/>
      <c r="M31" s="56" t="s">
        <v>53</v>
      </c>
      <c r="N31" s="58"/>
      <c r="O31" s="56" t="s">
        <v>7</v>
      </c>
      <c r="P31" s="58"/>
      <c r="Q31" s="56" t="s">
        <v>7</v>
      </c>
      <c r="R31" s="58" t="str">
        <f>IF(G31+H31&gt;0,4*Feats!K44+2*Feats!H25," ")</f>
        <v xml:space="preserve"> </v>
      </c>
      <c r="S31" s="56" t="s">
        <v>7</v>
      </c>
      <c r="T31" s="6"/>
      <c r="U31" s="56" t="s">
        <v>7</v>
      </c>
      <c r="V31" s="106"/>
      <c r="W31" s="640"/>
      <c r="X31" s="641"/>
      <c r="Y31" s="641"/>
      <c r="Z31" s="641"/>
      <c r="AA31" s="641"/>
      <c r="AB31" s="641"/>
      <c r="AC31" s="641"/>
      <c r="AD31" s="641"/>
      <c r="AE31" s="641"/>
      <c r="AF31" s="641"/>
      <c r="AG31" s="642"/>
      <c r="AH31" s="30"/>
      <c r="AI31" s="30"/>
      <c r="AJ31" s="30"/>
      <c r="AK31" s="30"/>
      <c r="AL31" s="30"/>
      <c r="AM31" s="30"/>
      <c r="AN31" s="30"/>
      <c r="AO31" s="8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</row>
    <row r="32" spans="1:59" ht="15.75" thickBot="1" x14ac:dyDescent="0.3">
      <c r="A32" s="30"/>
      <c r="B32" s="111"/>
      <c r="C32" s="91" t="s">
        <v>207</v>
      </c>
      <c r="D32" s="56" t="s">
        <v>13</v>
      </c>
      <c r="E32" s="58" t="str">
        <f t="shared" si="3"/>
        <v xml:space="preserve"> </v>
      </c>
      <c r="F32" s="56" t="s">
        <v>6</v>
      </c>
      <c r="G32" s="57"/>
      <c r="H32" s="57"/>
      <c r="I32" s="56" t="s">
        <v>7</v>
      </c>
      <c r="J32" s="58" t="str">
        <f>IF(G32+H32&gt;0,General!$N$12," ")</f>
        <v xml:space="preserve"> </v>
      </c>
      <c r="K32" s="56" t="s">
        <v>7</v>
      </c>
      <c r="L32" s="57"/>
      <c r="M32" s="56" t="s">
        <v>53</v>
      </c>
      <c r="N32" s="58"/>
      <c r="O32" s="56" t="s">
        <v>7</v>
      </c>
      <c r="P32" s="58"/>
      <c r="Q32" s="56" t="s">
        <v>7</v>
      </c>
      <c r="R32" s="58" t="str">
        <f>IF(G32+H32&gt;0,4*Feats!K45+IF(General!B1="Volus",2,0)," ")</f>
        <v xml:space="preserve"> </v>
      </c>
      <c r="S32" s="56" t="s">
        <v>7</v>
      </c>
      <c r="T32" s="6"/>
      <c r="U32" s="56" t="s">
        <v>7</v>
      </c>
      <c r="V32" s="106"/>
      <c r="W32" s="640"/>
      <c r="X32" s="641"/>
      <c r="Y32" s="641"/>
      <c r="Z32" s="641"/>
      <c r="AA32" s="641"/>
      <c r="AB32" s="641"/>
      <c r="AC32" s="641"/>
      <c r="AD32" s="641"/>
      <c r="AE32" s="641"/>
      <c r="AF32" s="641"/>
      <c r="AG32" s="642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</row>
    <row r="33" spans="1:59" ht="15.75" thickBot="1" x14ac:dyDescent="0.3">
      <c r="A33" s="30"/>
      <c r="B33" s="111"/>
      <c r="C33" s="91" t="s">
        <v>215</v>
      </c>
      <c r="D33" s="56" t="s">
        <v>13</v>
      </c>
      <c r="E33" s="58" t="str">
        <f t="shared" si="3"/>
        <v xml:space="preserve"> </v>
      </c>
      <c r="F33" s="56" t="s">
        <v>6</v>
      </c>
      <c r="G33" s="57"/>
      <c r="H33" s="57"/>
      <c r="I33" s="56" t="s">
        <v>7</v>
      </c>
      <c r="J33" s="58" t="str">
        <f>IF(G33+H33&gt;0,General!$N$12," ")</f>
        <v xml:space="preserve"> </v>
      </c>
      <c r="K33" s="56" t="s">
        <v>7</v>
      </c>
      <c r="L33" s="57"/>
      <c r="M33" s="56" t="s">
        <v>53</v>
      </c>
      <c r="N33" s="58"/>
      <c r="O33" s="56" t="s">
        <v>7</v>
      </c>
      <c r="P33" s="58"/>
      <c r="Q33" s="56" t="s">
        <v>7</v>
      </c>
      <c r="R33" s="58" t="str">
        <f>IF(G33+H33&gt;0,4*Feats!K46," ")</f>
        <v xml:space="preserve"> </v>
      </c>
      <c r="S33" s="56" t="s">
        <v>7</v>
      </c>
      <c r="T33" s="6"/>
      <c r="U33" s="56" t="s">
        <v>7</v>
      </c>
      <c r="V33" s="106"/>
      <c r="W33" s="640"/>
      <c r="X33" s="641"/>
      <c r="Y33" s="641"/>
      <c r="Z33" s="641"/>
      <c r="AA33" s="641"/>
      <c r="AB33" s="641"/>
      <c r="AC33" s="641"/>
      <c r="AD33" s="641"/>
      <c r="AE33" s="641"/>
      <c r="AF33" s="641"/>
      <c r="AG33" s="642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</row>
    <row r="34" spans="1:59" ht="15.75" thickBot="1" x14ac:dyDescent="0.3">
      <c r="A34" s="30"/>
      <c r="B34" s="111"/>
      <c r="C34" s="91" t="s">
        <v>216</v>
      </c>
      <c r="D34" s="56" t="s">
        <v>13</v>
      </c>
      <c r="E34" s="58" t="str">
        <f t="shared" si="3"/>
        <v xml:space="preserve"> </v>
      </c>
      <c r="F34" s="56" t="s">
        <v>6</v>
      </c>
      <c r="G34" s="57"/>
      <c r="H34" s="57"/>
      <c r="I34" s="56" t="s">
        <v>7</v>
      </c>
      <c r="J34" s="58" t="str">
        <f>IF(G34+H34&gt;0,General!$N$12," ")</f>
        <v xml:space="preserve"> </v>
      </c>
      <c r="K34" s="56" t="s">
        <v>7</v>
      </c>
      <c r="L34" s="57"/>
      <c r="M34" s="56" t="s">
        <v>53</v>
      </c>
      <c r="N34" s="58"/>
      <c r="O34" s="56" t="s">
        <v>7</v>
      </c>
      <c r="P34" s="58"/>
      <c r="Q34" s="56" t="s">
        <v>7</v>
      </c>
      <c r="R34" s="58" t="str">
        <f>IF(G34+H34&gt;0,4*Feats!K47," ")</f>
        <v xml:space="preserve"> </v>
      </c>
      <c r="S34" s="56" t="s">
        <v>7</v>
      </c>
      <c r="T34" s="6"/>
      <c r="U34" s="56" t="s">
        <v>7</v>
      </c>
      <c r="V34" s="106"/>
      <c r="W34" s="640"/>
      <c r="X34" s="641"/>
      <c r="Y34" s="641"/>
      <c r="Z34" s="641"/>
      <c r="AA34" s="641"/>
      <c r="AB34" s="641"/>
      <c r="AC34" s="641"/>
      <c r="AD34" s="641"/>
      <c r="AE34" s="641"/>
      <c r="AF34" s="641"/>
      <c r="AG34" s="642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</row>
    <row r="35" spans="1:59" ht="15.75" thickBot="1" x14ac:dyDescent="0.3">
      <c r="A35" s="30"/>
      <c r="B35" s="111"/>
      <c r="C35" s="91" t="s">
        <v>119</v>
      </c>
      <c r="D35" s="56" t="s">
        <v>13</v>
      </c>
      <c r="E35" s="58" t="str">
        <f t="shared" si="3"/>
        <v xml:space="preserve"> </v>
      </c>
      <c r="F35" s="56" t="s">
        <v>6</v>
      </c>
      <c r="G35" s="57"/>
      <c r="H35" s="57"/>
      <c r="I35" s="56" t="s">
        <v>7</v>
      </c>
      <c r="J35" s="58" t="str">
        <f>IF(G35+H35&gt;0,General!$N$12," ")</f>
        <v xml:space="preserve"> </v>
      </c>
      <c r="K35" s="56" t="s">
        <v>7</v>
      </c>
      <c r="L35" s="57"/>
      <c r="M35" s="56" t="s">
        <v>53</v>
      </c>
      <c r="N35" s="58"/>
      <c r="O35" s="56" t="s">
        <v>7</v>
      </c>
      <c r="P35" s="58"/>
      <c r="Q35" s="56" t="s">
        <v>7</v>
      </c>
      <c r="R35" s="58" t="str">
        <f>IF(G35+H35&gt;0,4*Feats!K48," ")</f>
        <v xml:space="preserve"> </v>
      </c>
      <c r="S35" s="56" t="s">
        <v>7</v>
      </c>
      <c r="T35" s="6"/>
      <c r="U35" s="56" t="s">
        <v>7</v>
      </c>
      <c r="V35" s="106"/>
      <c r="W35" s="640"/>
      <c r="X35" s="641"/>
      <c r="Y35" s="641"/>
      <c r="Z35" s="641"/>
      <c r="AA35" s="641"/>
      <c r="AB35" s="641"/>
      <c r="AC35" s="641"/>
      <c r="AD35" s="641"/>
      <c r="AE35" s="641"/>
      <c r="AF35" s="641"/>
      <c r="AG35" s="642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</row>
    <row r="36" spans="1:59" ht="15.75" thickBot="1" x14ac:dyDescent="0.3">
      <c r="A36" s="30"/>
      <c r="B36" s="111"/>
      <c r="C36" s="91" t="s">
        <v>217</v>
      </c>
      <c r="D36" s="56" t="s">
        <v>13</v>
      </c>
      <c r="E36" s="58" t="str">
        <f t="shared" si="3"/>
        <v xml:space="preserve"> </v>
      </c>
      <c r="F36" s="56" t="s">
        <v>6</v>
      </c>
      <c r="G36" s="57"/>
      <c r="H36" s="57"/>
      <c r="I36" s="56" t="s">
        <v>7</v>
      </c>
      <c r="J36" s="58" t="str">
        <f>IF(G36+H36&gt;0,General!$N$12," ")</f>
        <v xml:space="preserve"> </v>
      </c>
      <c r="K36" s="56" t="s">
        <v>7</v>
      </c>
      <c r="L36" s="57"/>
      <c r="M36" s="56" t="s">
        <v>53</v>
      </c>
      <c r="N36" s="58"/>
      <c r="O36" s="56" t="s">
        <v>7</v>
      </c>
      <c r="P36" s="58"/>
      <c r="Q36" s="56" t="s">
        <v>7</v>
      </c>
      <c r="R36" s="58" t="str">
        <f>IF(G36+H36&gt;0,4*Feats!K49," ")</f>
        <v xml:space="preserve"> </v>
      </c>
      <c r="S36" s="56" t="s">
        <v>7</v>
      </c>
      <c r="T36" s="6"/>
      <c r="U36" s="56" t="s">
        <v>7</v>
      </c>
      <c r="V36" s="106"/>
      <c r="W36" s="640"/>
      <c r="X36" s="641"/>
      <c r="Y36" s="641"/>
      <c r="Z36" s="641"/>
      <c r="AA36" s="641"/>
      <c r="AB36" s="641"/>
      <c r="AC36" s="641"/>
      <c r="AD36" s="641"/>
      <c r="AE36" s="641"/>
      <c r="AF36" s="641"/>
      <c r="AG36" s="642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</row>
    <row r="37" spans="1:59" ht="15.75" thickBot="1" x14ac:dyDescent="0.3">
      <c r="A37" s="30"/>
      <c r="B37" s="111"/>
      <c r="C37" s="91" t="s">
        <v>218</v>
      </c>
      <c r="D37" s="56" t="s">
        <v>13</v>
      </c>
      <c r="E37" s="58" t="str">
        <f t="shared" si="3"/>
        <v xml:space="preserve"> </v>
      </c>
      <c r="F37" s="56" t="s">
        <v>6</v>
      </c>
      <c r="G37" s="57"/>
      <c r="H37" s="57"/>
      <c r="I37" s="56" t="s">
        <v>7</v>
      </c>
      <c r="J37" s="58" t="str">
        <f>IF(G37+H37&gt;0,General!$N$12," ")</f>
        <v xml:space="preserve"> </v>
      </c>
      <c r="K37" s="56" t="s">
        <v>7</v>
      </c>
      <c r="L37" s="57"/>
      <c r="M37" s="56" t="s">
        <v>53</v>
      </c>
      <c r="N37" s="58"/>
      <c r="O37" s="56" t="s">
        <v>7</v>
      </c>
      <c r="P37" s="58"/>
      <c r="Q37" s="56" t="s">
        <v>7</v>
      </c>
      <c r="R37" s="58" t="str">
        <f>IF(G37+H37&gt;0,4*Feats!N10," ")</f>
        <v xml:space="preserve"> </v>
      </c>
      <c r="S37" s="56" t="s">
        <v>7</v>
      </c>
      <c r="T37" s="6"/>
      <c r="U37" s="56" t="s">
        <v>7</v>
      </c>
      <c r="V37" s="106"/>
      <c r="W37" s="640"/>
      <c r="X37" s="641"/>
      <c r="Y37" s="641"/>
      <c r="Z37" s="641"/>
      <c r="AA37" s="641"/>
      <c r="AB37" s="641"/>
      <c r="AC37" s="641"/>
      <c r="AD37" s="641"/>
      <c r="AE37" s="641"/>
      <c r="AF37" s="641"/>
      <c r="AG37" s="642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</row>
    <row r="38" spans="1:59" ht="17.25" customHeight="1" thickBot="1" x14ac:dyDescent="0.3">
      <c r="A38" s="30"/>
      <c r="B38" s="111"/>
      <c r="C38" s="91" t="s">
        <v>219</v>
      </c>
      <c r="D38" s="56" t="s">
        <v>13</v>
      </c>
      <c r="E38" s="58" t="str">
        <f t="shared" si="3"/>
        <v xml:space="preserve"> </v>
      </c>
      <c r="F38" s="56" t="s">
        <v>6</v>
      </c>
      <c r="G38" s="57"/>
      <c r="H38" s="57"/>
      <c r="I38" s="56" t="s">
        <v>7</v>
      </c>
      <c r="J38" s="58" t="str">
        <f>IF(G38+H38&gt;0,General!$N$12," ")</f>
        <v xml:space="preserve"> </v>
      </c>
      <c r="K38" s="56" t="s">
        <v>7</v>
      </c>
      <c r="L38" s="57"/>
      <c r="M38" s="56" t="s">
        <v>53</v>
      </c>
      <c r="N38" s="58"/>
      <c r="O38" s="56" t="s">
        <v>7</v>
      </c>
      <c r="P38" s="58"/>
      <c r="Q38" s="56" t="s">
        <v>7</v>
      </c>
      <c r="R38" s="58" t="str">
        <f>IF(G38+H38&gt;0,4*Feats!N11," ")</f>
        <v xml:space="preserve"> </v>
      </c>
      <c r="S38" s="56" t="s">
        <v>7</v>
      </c>
      <c r="T38" s="6"/>
      <c r="U38" s="56" t="s">
        <v>7</v>
      </c>
      <c r="V38" s="106"/>
      <c r="W38" s="640"/>
      <c r="X38" s="641"/>
      <c r="Y38" s="641"/>
      <c r="Z38" s="641"/>
      <c r="AA38" s="641"/>
      <c r="AB38" s="641"/>
      <c r="AC38" s="641"/>
      <c r="AD38" s="641"/>
      <c r="AE38" s="641"/>
      <c r="AF38" s="641"/>
      <c r="AG38" s="642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</row>
    <row r="39" spans="1:59" ht="15.75" thickBot="1" x14ac:dyDescent="0.3">
      <c r="A39" s="30"/>
      <c r="B39" s="111"/>
      <c r="C39" s="91" t="s">
        <v>220</v>
      </c>
      <c r="D39" s="56" t="s">
        <v>13</v>
      </c>
      <c r="E39" s="58" t="str">
        <f t="shared" si="3"/>
        <v xml:space="preserve"> </v>
      </c>
      <c r="F39" s="56" t="s">
        <v>6</v>
      </c>
      <c r="G39" s="57"/>
      <c r="H39" s="57"/>
      <c r="I39" s="56" t="s">
        <v>7</v>
      </c>
      <c r="J39" s="58" t="str">
        <f>IF(G39+H39&gt;0,General!$N$12," ")</f>
        <v xml:space="preserve"> </v>
      </c>
      <c r="K39" s="56" t="s">
        <v>7</v>
      </c>
      <c r="L39" s="57"/>
      <c r="M39" s="56" t="s">
        <v>53</v>
      </c>
      <c r="N39" s="58"/>
      <c r="O39" s="56" t="s">
        <v>7</v>
      </c>
      <c r="P39" s="58"/>
      <c r="Q39" s="56" t="s">
        <v>7</v>
      </c>
      <c r="R39" s="58" t="str">
        <f>IF(G39+H39&gt;0,4*Feats!N12," ")</f>
        <v xml:space="preserve"> </v>
      </c>
      <c r="S39" s="56" t="s">
        <v>7</v>
      </c>
      <c r="T39" s="6"/>
      <c r="U39" s="56" t="s">
        <v>7</v>
      </c>
      <c r="V39" s="106"/>
      <c r="W39" s="640"/>
      <c r="X39" s="641"/>
      <c r="Y39" s="641"/>
      <c r="Z39" s="641"/>
      <c r="AA39" s="641"/>
      <c r="AB39" s="641"/>
      <c r="AC39" s="641"/>
      <c r="AD39" s="641"/>
      <c r="AE39" s="641"/>
      <c r="AF39" s="641"/>
      <c r="AG39" s="642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</row>
    <row r="40" spans="1:59" ht="15.75" thickBot="1" x14ac:dyDescent="0.3">
      <c r="A40" s="30"/>
      <c r="B40" s="111"/>
      <c r="C40" s="91" t="s">
        <v>221</v>
      </c>
      <c r="D40" s="56" t="s">
        <v>13</v>
      </c>
      <c r="E40" s="58" t="str">
        <f t="shared" si="3"/>
        <v xml:space="preserve"> </v>
      </c>
      <c r="F40" s="56" t="s">
        <v>6</v>
      </c>
      <c r="G40" s="57"/>
      <c r="H40" s="57"/>
      <c r="I40" s="56" t="s">
        <v>7</v>
      </c>
      <c r="J40" s="58" t="str">
        <f>IF(G40+H40&gt;0,General!$N$12," ")</f>
        <v xml:space="preserve"> </v>
      </c>
      <c r="K40" s="56" t="s">
        <v>7</v>
      </c>
      <c r="L40" s="57"/>
      <c r="M40" s="56" t="s">
        <v>53</v>
      </c>
      <c r="N40" s="58"/>
      <c r="O40" s="56" t="s">
        <v>7</v>
      </c>
      <c r="P40" s="58"/>
      <c r="Q40" s="56" t="s">
        <v>7</v>
      </c>
      <c r="R40" s="58" t="str">
        <f>IF(G40+H40&gt;0,4*Feats!N13+IF(General!B1="Turian",2,0)," ")</f>
        <v xml:space="preserve"> </v>
      </c>
      <c r="S40" s="56" t="s">
        <v>7</v>
      </c>
      <c r="T40" s="6"/>
      <c r="U40" s="56" t="s">
        <v>7</v>
      </c>
      <c r="V40" s="106"/>
      <c r="W40" s="640"/>
      <c r="X40" s="641"/>
      <c r="Y40" s="641"/>
      <c r="Z40" s="641"/>
      <c r="AA40" s="641"/>
      <c r="AB40" s="641"/>
      <c r="AC40" s="641"/>
      <c r="AD40" s="641"/>
      <c r="AE40" s="641"/>
      <c r="AF40" s="641"/>
      <c r="AG40" s="642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</row>
    <row r="41" spans="1:59" ht="15.75" thickBot="1" x14ac:dyDescent="0.3">
      <c r="A41" s="30"/>
      <c r="B41" s="111"/>
      <c r="C41" s="91" t="s">
        <v>222</v>
      </c>
      <c r="D41" s="56" t="s">
        <v>13</v>
      </c>
      <c r="E41" s="58" t="str">
        <f t="shared" si="3"/>
        <v xml:space="preserve"> </v>
      </c>
      <c r="F41" s="56" t="s">
        <v>6</v>
      </c>
      <c r="G41" s="57"/>
      <c r="H41" s="57"/>
      <c r="I41" s="56" t="s">
        <v>7</v>
      </c>
      <c r="J41" s="58" t="str">
        <f>IF(G41+H41&gt;0,General!$N$12," ")</f>
        <v xml:space="preserve"> </v>
      </c>
      <c r="K41" s="56" t="s">
        <v>7</v>
      </c>
      <c r="L41" s="57"/>
      <c r="M41" s="56" t="s">
        <v>53</v>
      </c>
      <c r="N41" s="58"/>
      <c r="O41" s="56" t="s">
        <v>7</v>
      </c>
      <c r="P41" s="58"/>
      <c r="Q41" s="56" t="s">
        <v>7</v>
      </c>
      <c r="R41" s="58" t="str">
        <f>IF(G41+H41&gt;0,4*Feats!N14," ")</f>
        <v xml:space="preserve"> </v>
      </c>
      <c r="S41" s="56" t="s">
        <v>7</v>
      </c>
      <c r="T41" s="6"/>
      <c r="U41" s="56" t="s">
        <v>7</v>
      </c>
      <c r="V41" s="106"/>
      <c r="W41" s="640"/>
      <c r="X41" s="641"/>
      <c r="Y41" s="641"/>
      <c r="Z41" s="641"/>
      <c r="AA41" s="641"/>
      <c r="AB41" s="641"/>
      <c r="AC41" s="641"/>
      <c r="AD41" s="641"/>
      <c r="AE41" s="641"/>
      <c r="AF41" s="641"/>
      <c r="AG41" s="642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</row>
    <row r="42" spans="1:59" ht="15.75" customHeight="1" thickBot="1" x14ac:dyDescent="0.3">
      <c r="A42" s="30"/>
      <c r="B42" s="111"/>
      <c r="C42" s="91" t="s">
        <v>205</v>
      </c>
      <c r="D42" s="56" t="s">
        <v>13</v>
      </c>
      <c r="E42" s="58" t="str">
        <f t="shared" si="3"/>
        <v xml:space="preserve"> </v>
      </c>
      <c r="F42" s="56" t="s">
        <v>6</v>
      </c>
      <c r="G42" s="57"/>
      <c r="H42" s="57"/>
      <c r="I42" s="56" t="s">
        <v>7</v>
      </c>
      <c r="J42" s="58" t="str">
        <f>IF(G42+H42&gt;0,General!$N$12," ")</f>
        <v xml:space="preserve"> </v>
      </c>
      <c r="K42" s="56" t="s">
        <v>7</v>
      </c>
      <c r="L42" s="57"/>
      <c r="M42" s="56" t="s">
        <v>53</v>
      </c>
      <c r="N42" s="58"/>
      <c r="O42" s="56" t="s">
        <v>7</v>
      </c>
      <c r="P42" s="58"/>
      <c r="Q42" s="56" t="s">
        <v>7</v>
      </c>
      <c r="R42" s="58" t="str">
        <f>IF(G42+H42&gt;0,4*Feats!N15," ")</f>
        <v xml:space="preserve"> </v>
      </c>
      <c r="S42" s="56" t="s">
        <v>7</v>
      </c>
      <c r="T42" s="6"/>
      <c r="U42" s="56" t="s">
        <v>7</v>
      </c>
      <c r="V42" s="106"/>
      <c r="W42" s="640"/>
      <c r="X42" s="641"/>
      <c r="Y42" s="641"/>
      <c r="Z42" s="641"/>
      <c r="AA42" s="641"/>
      <c r="AB42" s="641"/>
      <c r="AC42" s="641"/>
      <c r="AD42" s="641"/>
      <c r="AE42" s="641"/>
      <c r="AF42" s="641"/>
      <c r="AG42" s="642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</row>
    <row r="43" spans="1:59" ht="15.75" thickBot="1" x14ac:dyDescent="0.3">
      <c r="A43" s="30"/>
      <c r="B43" s="111"/>
      <c r="C43" s="91" t="s">
        <v>110</v>
      </c>
      <c r="D43" s="56" t="s">
        <v>15</v>
      </c>
      <c r="E43" s="58">
        <f>G43+J43+L43-N43+P43+T43+R43+H43+V43</f>
        <v>-5</v>
      </c>
      <c r="F43" s="56" t="s">
        <v>6</v>
      </c>
      <c r="G43" s="57"/>
      <c r="H43" s="57"/>
      <c r="I43" s="56" t="s">
        <v>7</v>
      </c>
      <c r="J43" s="58">
        <f>General!N14</f>
        <v>-5</v>
      </c>
      <c r="K43" s="56" t="s">
        <v>7</v>
      </c>
      <c r="L43" s="57"/>
      <c r="M43" s="56" t="s">
        <v>53</v>
      </c>
      <c r="N43" s="58"/>
      <c r="O43" s="56" t="s">
        <v>7</v>
      </c>
      <c r="P43" s="58"/>
      <c r="Q43" s="56" t="s">
        <v>7</v>
      </c>
      <c r="R43" s="58">
        <f>4*Feats!N16+Feats!B15*2</f>
        <v>0</v>
      </c>
      <c r="S43" s="56" t="s">
        <v>7</v>
      </c>
      <c r="T43" s="6"/>
      <c r="U43" s="56" t="s">
        <v>7</v>
      </c>
      <c r="V43" s="106"/>
      <c r="W43" s="640"/>
      <c r="X43" s="641"/>
      <c r="Y43" s="641"/>
      <c r="Z43" s="641"/>
      <c r="AA43" s="641"/>
      <c r="AB43" s="641"/>
      <c r="AC43" s="641"/>
      <c r="AD43" s="641"/>
      <c r="AE43" s="641"/>
      <c r="AF43" s="641"/>
      <c r="AG43" s="642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</row>
    <row r="44" spans="1:59" ht="15.75" thickBot="1" x14ac:dyDescent="0.3">
      <c r="A44" s="30"/>
      <c r="B44" s="111"/>
      <c r="C44" s="91" t="s">
        <v>223</v>
      </c>
      <c r="D44" s="56" t="s">
        <v>13</v>
      </c>
      <c r="E44" s="58" t="str">
        <f>IF(OR(G44&gt;0,H44&gt;0),G44+J44+L44-N44+P44+T44+R44+H44+V44," ")</f>
        <v xml:space="preserve"> </v>
      </c>
      <c r="F44" s="56" t="s">
        <v>6</v>
      </c>
      <c r="G44" s="57"/>
      <c r="H44" s="57"/>
      <c r="I44" s="56" t="s">
        <v>7</v>
      </c>
      <c r="J44" s="58" t="str">
        <f>IF(G44+H44&gt;0,General!$N$12," ")</f>
        <v xml:space="preserve"> </v>
      </c>
      <c r="K44" s="56" t="s">
        <v>7</v>
      </c>
      <c r="L44" s="57"/>
      <c r="M44" s="56" t="s">
        <v>53</v>
      </c>
      <c r="N44" s="58"/>
      <c r="O44" s="56" t="s">
        <v>7</v>
      </c>
      <c r="P44" s="58" t="str">
        <f>IF(OR(G44&gt;0,H44&gt;0),IF(G31+H31&gt;4,2,0)," ")</f>
        <v xml:space="preserve"> </v>
      </c>
      <c r="Q44" s="56" t="s">
        <v>7</v>
      </c>
      <c r="R44" s="58" t="str">
        <f>IF(G44+H44&gt;0,4*Feats!N17+2*Feats!H25," ")</f>
        <v xml:space="preserve"> </v>
      </c>
      <c r="S44" s="56" t="s">
        <v>7</v>
      </c>
      <c r="T44" s="6"/>
      <c r="U44" s="56" t="s">
        <v>7</v>
      </c>
      <c r="V44" s="106"/>
      <c r="W44" s="640"/>
      <c r="X44" s="641"/>
      <c r="Y44" s="641"/>
      <c r="Z44" s="641"/>
      <c r="AA44" s="641"/>
      <c r="AB44" s="641"/>
      <c r="AC44" s="641"/>
      <c r="AD44" s="641"/>
      <c r="AE44" s="641"/>
      <c r="AF44" s="641"/>
      <c r="AG44" s="642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</row>
    <row r="45" spans="1:59" ht="15.75" thickBot="1" x14ac:dyDescent="0.3">
      <c r="A45" s="30"/>
      <c r="B45" s="111"/>
      <c r="C45" s="91" t="s">
        <v>111</v>
      </c>
      <c r="D45" s="56" t="s">
        <v>9</v>
      </c>
      <c r="E45" s="58">
        <f>G45+J45+L45-N45+P45+T45+R45+H45+V45</f>
        <v>-5</v>
      </c>
      <c r="F45" s="56" t="s">
        <v>6</v>
      </c>
      <c r="G45" s="57"/>
      <c r="H45" s="57"/>
      <c r="I45" s="56" t="s">
        <v>7</v>
      </c>
      <c r="J45" s="58">
        <f>General!N8</f>
        <v>-5</v>
      </c>
      <c r="K45" s="56" t="s">
        <v>7</v>
      </c>
      <c r="L45" s="57"/>
      <c r="M45" s="56" t="s">
        <v>53</v>
      </c>
      <c r="N45" s="58">
        <f>-1*IF(General!AE2="Heavy",-6,IF(General!AE2="Medium",-3,0))</f>
        <v>0</v>
      </c>
      <c r="O45" s="56" t="s">
        <v>7</v>
      </c>
      <c r="P45" s="58"/>
      <c r="Q45" s="56" t="s">
        <v>7</v>
      </c>
      <c r="R45" s="58">
        <f>4*Feats!N18+Feats!Q10*2+IF(General!B1="Vorcha",5,0)</f>
        <v>0</v>
      </c>
      <c r="S45" s="56" t="s">
        <v>7</v>
      </c>
      <c r="T45" s="6"/>
      <c r="U45" s="56" t="s">
        <v>7</v>
      </c>
      <c r="V45" s="106"/>
      <c r="W45" s="640"/>
      <c r="X45" s="641"/>
      <c r="Y45" s="641"/>
      <c r="Z45" s="641"/>
      <c r="AA45" s="641"/>
      <c r="AB45" s="641"/>
      <c r="AC45" s="641"/>
      <c r="AD45" s="641"/>
      <c r="AE45" s="641"/>
      <c r="AF45" s="641"/>
      <c r="AG45" s="642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</row>
    <row r="46" spans="1:59" ht="15.75" thickBot="1" x14ac:dyDescent="0.3">
      <c r="A46" s="30"/>
      <c r="B46" s="111"/>
      <c r="C46" s="91" t="s">
        <v>120</v>
      </c>
      <c r="D46" s="56" t="s">
        <v>17</v>
      </c>
      <c r="E46" s="58">
        <f t="shared" ref="E46:E56" si="4">G46+J46+L46-N46+P46+T46+R46+H46+V46</f>
        <v>-5</v>
      </c>
      <c r="F46" s="56" t="s">
        <v>6</v>
      </c>
      <c r="G46" s="57"/>
      <c r="H46" s="57"/>
      <c r="I46" s="56" t="s">
        <v>7</v>
      </c>
      <c r="J46" s="58">
        <f>General!N16</f>
        <v>-5</v>
      </c>
      <c r="K46" s="56" t="s">
        <v>7</v>
      </c>
      <c r="L46" s="57"/>
      <c r="M46" s="56" t="s">
        <v>53</v>
      </c>
      <c r="N46" s="58"/>
      <c r="O46" s="56" t="s">
        <v>7</v>
      </c>
      <c r="P46" s="58"/>
      <c r="Q46" s="56" t="s">
        <v>7</v>
      </c>
      <c r="R46" s="58">
        <f>4*Feats!N19+Feats!B31*2</f>
        <v>0</v>
      </c>
      <c r="S46" s="56" t="s">
        <v>7</v>
      </c>
      <c r="T46" s="6"/>
      <c r="U46" s="56" t="s">
        <v>7</v>
      </c>
      <c r="V46" s="106"/>
      <c r="W46" s="640"/>
      <c r="X46" s="641"/>
      <c r="Y46" s="641"/>
      <c r="Z46" s="641"/>
      <c r="AA46" s="641"/>
      <c r="AB46" s="641"/>
      <c r="AC46" s="641"/>
      <c r="AD46" s="641"/>
      <c r="AE46" s="641"/>
      <c r="AF46" s="641"/>
      <c r="AG46" s="642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</row>
    <row r="47" spans="1:59" ht="15.75" thickBot="1" x14ac:dyDescent="0.3">
      <c r="A47" s="30"/>
      <c r="B47" s="111"/>
      <c r="C47" s="91" t="s">
        <v>121</v>
      </c>
      <c r="D47" s="56" t="s">
        <v>17</v>
      </c>
      <c r="E47" s="58">
        <f t="shared" si="4"/>
        <v>-5</v>
      </c>
      <c r="F47" s="56" t="s">
        <v>6</v>
      </c>
      <c r="G47" s="57"/>
      <c r="H47" s="57"/>
      <c r="I47" s="56" t="s">
        <v>7</v>
      </c>
      <c r="J47" s="58">
        <f>General!N16</f>
        <v>-5</v>
      </c>
      <c r="K47" s="56" t="s">
        <v>7</v>
      </c>
      <c r="L47" s="57"/>
      <c r="M47" s="56" t="s">
        <v>53</v>
      </c>
      <c r="N47" s="58"/>
      <c r="O47" s="56" t="s">
        <v>7</v>
      </c>
      <c r="P47" s="58"/>
      <c r="Q47" s="56" t="s">
        <v>7</v>
      </c>
      <c r="R47" s="58">
        <f>4*Feats!N20+Feats!B31*2</f>
        <v>0</v>
      </c>
      <c r="S47" s="56" t="s">
        <v>7</v>
      </c>
      <c r="T47" s="6"/>
      <c r="U47" s="56" t="s">
        <v>7</v>
      </c>
      <c r="V47" s="106"/>
      <c r="W47" s="640"/>
      <c r="X47" s="641"/>
      <c r="Y47" s="641"/>
      <c r="Z47" s="641"/>
      <c r="AA47" s="641"/>
      <c r="AB47" s="641"/>
      <c r="AC47" s="641"/>
      <c r="AD47" s="641"/>
      <c r="AE47" s="641"/>
      <c r="AF47" s="641"/>
      <c r="AG47" s="642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</row>
    <row r="48" spans="1:59" ht="15.75" thickBot="1" x14ac:dyDescent="0.3">
      <c r="A48" s="30"/>
      <c r="B48" s="111"/>
      <c r="C48" s="91" t="s">
        <v>122</v>
      </c>
      <c r="D48" s="56" t="s">
        <v>17</v>
      </c>
      <c r="E48" s="58">
        <f t="shared" si="4"/>
        <v>-5</v>
      </c>
      <c r="F48" s="56" t="s">
        <v>6</v>
      </c>
      <c r="G48" s="57"/>
      <c r="H48" s="57"/>
      <c r="I48" s="56" t="s">
        <v>7</v>
      </c>
      <c r="J48" s="58">
        <f>General!N16</f>
        <v>-5</v>
      </c>
      <c r="K48" s="56" t="s">
        <v>7</v>
      </c>
      <c r="L48" s="57"/>
      <c r="M48" s="56" t="s">
        <v>53</v>
      </c>
      <c r="N48" s="58"/>
      <c r="O48" s="56" t="s">
        <v>7</v>
      </c>
      <c r="P48" s="58"/>
      <c r="Q48" s="56" t="s">
        <v>7</v>
      </c>
      <c r="R48" s="58">
        <f>4*Feats!N21+Feats!B31*2</f>
        <v>0</v>
      </c>
      <c r="S48" s="56" t="s">
        <v>7</v>
      </c>
      <c r="T48" s="6"/>
      <c r="U48" s="56" t="s">
        <v>7</v>
      </c>
      <c r="V48" s="106"/>
      <c r="W48" s="640"/>
      <c r="X48" s="641"/>
      <c r="Y48" s="641"/>
      <c r="Z48" s="641"/>
      <c r="AA48" s="641"/>
      <c r="AB48" s="641"/>
      <c r="AC48" s="641"/>
      <c r="AD48" s="641"/>
      <c r="AE48" s="641"/>
      <c r="AF48" s="641"/>
      <c r="AG48" s="642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</row>
    <row r="49" spans="1:59" ht="15.75" thickBot="1" x14ac:dyDescent="0.3">
      <c r="A49" s="30"/>
      <c r="B49" s="111"/>
      <c r="C49" s="91" t="s">
        <v>123</v>
      </c>
      <c r="D49" s="56" t="s">
        <v>17</v>
      </c>
      <c r="E49" s="58">
        <f t="shared" si="4"/>
        <v>-5</v>
      </c>
      <c r="F49" s="56" t="s">
        <v>6</v>
      </c>
      <c r="G49" s="57"/>
      <c r="H49" s="57"/>
      <c r="I49" s="56" t="s">
        <v>7</v>
      </c>
      <c r="J49" s="58">
        <f>General!N16</f>
        <v>-5</v>
      </c>
      <c r="K49" s="56" t="s">
        <v>7</v>
      </c>
      <c r="L49" s="57"/>
      <c r="M49" s="56" t="s">
        <v>53</v>
      </c>
      <c r="N49" s="58"/>
      <c r="O49" s="56" t="s">
        <v>7</v>
      </c>
      <c r="P49" s="58"/>
      <c r="Q49" s="56" t="s">
        <v>7</v>
      </c>
      <c r="R49" s="58">
        <f>4*Feats!N22+Feats!B31*2</f>
        <v>0</v>
      </c>
      <c r="S49" s="56" t="s">
        <v>7</v>
      </c>
      <c r="T49" s="6"/>
      <c r="U49" s="56" t="s">
        <v>7</v>
      </c>
      <c r="V49" s="106"/>
      <c r="W49" s="640"/>
      <c r="X49" s="641"/>
      <c r="Y49" s="641"/>
      <c r="Z49" s="641"/>
      <c r="AA49" s="641"/>
      <c r="AB49" s="641"/>
      <c r="AC49" s="641"/>
      <c r="AD49" s="641"/>
      <c r="AE49" s="641"/>
      <c r="AF49" s="641"/>
      <c r="AG49" s="642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</row>
    <row r="50" spans="1:59" ht="15.75" thickBot="1" x14ac:dyDescent="0.3">
      <c r="A50" s="30"/>
      <c r="B50" s="111"/>
      <c r="C50" s="91" t="s">
        <v>124</v>
      </c>
      <c r="D50" s="56" t="s">
        <v>17</v>
      </c>
      <c r="E50" s="58">
        <f t="shared" si="4"/>
        <v>-5</v>
      </c>
      <c r="F50" s="56" t="s">
        <v>6</v>
      </c>
      <c r="G50" s="57"/>
      <c r="H50" s="57"/>
      <c r="I50" s="56" t="s">
        <v>7</v>
      </c>
      <c r="J50" s="58">
        <f>General!N16</f>
        <v>-5</v>
      </c>
      <c r="K50" s="56" t="s">
        <v>7</v>
      </c>
      <c r="L50" s="57"/>
      <c r="M50" s="56" t="s">
        <v>53</v>
      </c>
      <c r="N50" s="58"/>
      <c r="O50" s="56" t="s">
        <v>7</v>
      </c>
      <c r="P50" s="58">
        <f>IF(G35+H35&gt;4,2,0)</f>
        <v>0</v>
      </c>
      <c r="Q50" s="56" t="s">
        <v>7</v>
      </c>
      <c r="R50" s="58">
        <f>4*Feats!N23+Feats!B31*2</f>
        <v>0</v>
      </c>
      <c r="S50" s="56" t="s">
        <v>7</v>
      </c>
      <c r="T50" s="6"/>
      <c r="U50" s="56" t="s">
        <v>7</v>
      </c>
      <c r="V50" s="106"/>
      <c r="W50" s="640"/>
      <c r="X50" s="641"/>
      <c r="Y50" s="641"/>
      <c r="Z50" s="641"/>
      <c r="AA50" s="641"/>
      <c r="AB50" s="641"/>
      <c r="AC50" s="641"/>
      <c r="AD50" s="641"/>
      <c r="AE50" s="641"/>
      <c r="AF50" s="641"/>
      <c r="AG50" s="642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</row>
    <row r="51" spans="1:59" ht="15.75" thickBot="1" x14ac:dyDescent="0.3">
      <c r="A51" s="30"/>
      <c r="B51" s="111"/>
      <c r="C51" s="91" t="s">
        <v>125</v>
      </c>
      <c r="D51" s="56" t="s">
        <v>17</v>
      </c>
      <c r="E51" s="58">
        <f t="shared" si="4"/>
        <v>-5</v>
      </c>
      <c r="F51" s="56" t="s">
        <v>6</v>
      </c>
      <c r="G51" s="57"/>
      <c r="H51" s="57"/>
      <c r="I51" s="56" t="s">
        <v>7</v>
      </c>
      <c r="J51" s="58">
        <f>General!N16</f>
        <v>-5</v>
      </c>
      <c r="K51" s="56" t="s">
        <v>7</v>
      </c>
      <c r="L51" s="57"/>
      <c r="M51" s="56" t="s">
        <v>53</v>
      </c>
      <c r="N51" s="58"/>
      <c r="O51" s="56" t="s">
        <v>7</v>
      </c>
      <c r="P51" s="58"/>
      <c r="Q51" s="56" t="s">
        <v>7</v>
      </c>
      <c r="R51" s="58">
        <f>4*Feats!N24+Feats!B31*2</f>
        <v>0</v>
      </c>
      <c r="S51" s="56" t="s">
        <v>7</v>
      </c>
      <c r="T51" s="6"/>
      <c r="U51" s="56" t="s">
        <v>7</v>
      </c>
      <c r="V51" s="106"/>
      <c r="W51" s="640"/>
      <c r="X51" s="641"/>
      <c r="Y51" s="641"/>
      <c r="Z51" s="641"/>
      <c r="AA51" s="641"/>
      <c r="AB51" s="641"/>
      <c r="AC51" s="641"/>
      <c r="AD51" s="641"/>
      <c r="AE51" s="641"/>
      <c r="AF51" s="641"/>
      <c r="AG51" s="642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</row>
    <row r="52" spans="1:59" ht="15.75" thickBot="1" x14ac:dyDescent="0.3">
      <c r="A52" s="30"/>
      <c r="B52" s="111"/>
      <c r="C52" s="91" t="s">
        <v>126</v>
      </c>
      <c r="D52" s="56" t="s">
        <v>17</v>
      </c>
      <c r="E52" s="58">
        <f t="shared" si="4"/>
        <v>-5</v>
      </c>
      <c r="F52" s="56" t="s">
        <v>6</v>
      </c>
      <c r="G52" s="57"/>
      <c r="H52" s="57"/>
      <c r="I52" s="56" t="s">
        <v>7</v>
      </c>
      <c r="J52" s="58">
        <f>General!N16</f>
        <v>-5</v>
      </c>
      <c r="K52" s="56" t="s">
        <v>7</v>
      </c>
      <c r="L52" s="57"/>
      <c r="M52" s="56" t="s">
        <v>53</v>
      </c>
      <c r="N52" s="58"/>
      <c r="O52" s="56" t="s">
        <v>7</v>
      </c>
      <c r="P52" s="58"/>
      <c r="Q52" s="56" t="s">
        <v>7</v>
      </c>
      <c r="R52" s="58">
        <f>4*Feats!N25+Feats!B31*2</f>
        <v>0</v>
      </c>
      <c r="S52" s="56" t="s">
        <v>7</v>
      </c>
      <c r="T52" s="6"/>
      <c r="U52" s="56" t="s">
        <v>7</v>
      </c>
      <c r="V52" s="106"/>
      <c r="W52" s="640"/>
      <c r="X52" s="641"/>
      <c r="Y52" s="641"/>
      <c r="Z52" s="641"/>
      <c r="AA52" s="641"/>
      <c r="AB52" s="641"/>
      <c r="AC52" s="641"/>
      <c r="AD52" s="641"/>
      <c r="AE52" s="641"/>
      <c r="AF52" s="641"/>
      <c r="AG52" s="642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</row>
    <row r="53" spans="1:59" ht="15.75" thickBot="1" x14ac:dyDescent="0.3">
      <c r="A53" s="30"/>
      <c r="B53" s="111"/>
      <c r="C53" s="91" t="s">
        <v>127</v>
      </c>
      <c r="D53" s="56" t="s">
        <v>17</v>
      </c>
      <c r="E53" s="58">
        <f t="shared" si="4"/>
        <v>-5</v>
      </c>
      <c r="F53" s="56" t="s">
        <v>6</v>
      </c>
      <c r="G53" s="57"/>
      <c r="H53" s="57"/>
      <c r="I53" s="56" t="s">
        <v>7</v>
      </c>
      <c r="J53" s="58">
        <f>General!N16</f>
        <v>-5</v>
      </c>
      <c r="K53" s="56" t="s">
        <v>7</v>
      </c>
      <c r="L53" s="57"/>
      <c r="M53" s="56" t="s">
        <v>53</v>
      </c>
      <c r="N53" s="58"/>
      <c r="O53" s="56" t="s">
        <v>7</v>
      </c>
      <c r="P53" s="58"/>
      <c r="Q53" s="56" t="s">
        <v>7</v>
      </c>
      <c r="R53" s="58">
        <f>4*Feats!N26+Feats!B31*2</f>
        <v>0</v>
      </c>
      <c r="S53" s="56" t="s">
        <v>7</v>
      </c>
      <c r="T53" s="6"/>
      <c r="U53" s="56" t="s">
        <v>7</v>
      </c>
      <c r="V53" s="106"/>
      <c r="W53" s="640"/>
      <c r="X53" s="641"/>
      <c r="Y53" s="641"/>
      <c r="Z53" s="641"/>
      <c r="AA53" s="641"/>
      <c r="AB53" s="641"/>
      <c r="AC53" s="641"/>
      <c r="AD53" s="641"/>
      <c r="AE53" s="641"/>
      <c r="AF53" s="641"/>
      <c r="AG53" s="642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</row>
    <row r="54" spans="1:59" ht="15.75" thickBot="1" x14ac:dyDescent="0.3">
      <c r="A54" s="30"/>
      <c r="B54" s="111"/>
      <c r="C54" s="91" t="s">
        <v>128</v>
      </c>
      <c r="D54" s="56" t="s">
        <v>17</v>
      </c>
      <c r="E54" s="58">
        <f t="shared" si="4"/>
        <v>-5</v>
      </c>
      <c r="F54" s="56" t="s">
        <v>6</v>
      </c>
      <c r="G54" s="57"/>
      <c r="H54" s="57"/>
      <c r="I54" s="56" t="s">
        <v>7</v>
      </c>
      <c r="J54" s="58">
        <f>General!N16</f>
        <v>-5</v>
      </c>
      <c r="K54" s="56" t="s">
        <v>7</v>
      </c>
      <c r="L54" s="57"/>
      <c r="M54" s="56" t="s">
        <v>53</v>
      </c>
      <c r="N54" s="58"/>
      <c r="O54" s="56" t="s">
        <v>7</v>
      </c>
      <c r="P54" s="58"/>
      <c r="Q54" s="56" t="s">
        <v>7</v>
      </c>
      <c r="R54" s="58">
        <f>4*Feats!N27+Feats!B31*2</f>
        <v>0</v>
      </c>
      <c r="S54" s="56" t="s">
        <v>7</v>
      </c>
      <c r="T54" s="6"/>
      <c r="U54" s="56" t="s">
        <v>7</v>
      </c>
      <c r="V54" s="106"/>
      <c r="W54" s="640"/>
      <c r="X54" s="641"/>
      <c r="Y54" s="641"/>
      <c r="Z54" s="641"/>
      <c r="AA54" s="641"/>
      <c r="AB54" s="641"/>
      <c r="AC54" s="641"/>
      <c r="AD54" s="641"/>
      <c r="AE54" s="641"/>
      <c r="AF54" s="641"/>
      <c r="AG54" s="642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</row>
    <row r="55" spans="1:59" ht="15.75" thickBot="1" x14ac:dyDescent="0.3">
      <c r="A55" s="30"/>
      <c r="B55" s="111"/>
      <c r="C55" s="91" t="s">
        <v>224</v>
      </c>
      <c r="D55" s="56" t="s">
        <v>13</v>
      </c>
      <c r="E55" s="58">
        <f t="shared" si="4"/>
        <v>-5</v>
      </c>
      <c r="F55" s="56" t="s">
        <v>6</v>
      </c>
      <c r="G55" s="57"/>
      <c r="H55" s="57"/>
      <c r="I55" s="56" t="s">
        <v>7</v>
      </c>
      <c r="J55" s="58">
        <f>General!N12</f>
        <v>-5</v>
      </c>
      <c r="K55" s="56" t="s">
        <v>7</v>
      </c>
      <c r="L55" s="57"/>
      <c r="M55" s="56" t="s">
        <v>53</v>
      </c>
      <c r="N55" s="58"/>
      <c r="O55" s="56" t="s">
        <v>7</v>
      </c>
      <c r="P55" s="58"/>
      <c r="Q55" s="56" t="s">
        <v>7</v>
      </c>
      <c r="R55" s="58">
        <f>4*Feats!N28+IF(General!B1="Turian",2,0)</f>
        <v>0</v>
      </c>
      <c r="S55" s="56" t="s">
        <v>7</v>
      </c>
      <c r="T55" s="6"/>
      <c r="U55" s="56" t="s">
        <v>7</v>
      </c>
      <c r="V55" s="106"/>
      <c r="W55" s="640"/>
      <c r="X55" s="641"/>
      <c r="Y55" s="641"/>
      <c r="Z55" s="641"/>
      <c r="AA55" s="641"/>
      <c r="AB55" s="641"/>
      <c r="AC55" s="641"/>
      <c r="AD55" s="641"/>
      <c r="AE55" s="641"/>
      <c r="AF55" s="641"/>
      <c r="AG55" s="642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</row>
    <row r="56" spans="1:59" ht="15.75" thickBot="1" x14ac:dyDescent="0.3">
      <c r="A56" s="30"/>
      <c r="B56" s="111"/>
      <c r="C56" s="91" t="s">
        <v>225</v>
      </c>
      <c r="D56" s="56" t="s">
        <v>13</v>
      </c>
      <c r="E56" s="58">
        <f t="shared" si="4"/>
        <v>-5</v>
      </c>
      <c r="F56" s="56" t="s">
        <v>6</v>
      </c>
      <c r="G56" s="57"/>
      <c r="H56" s="57"/>
      <c r="I56" s="56" t="s">
        <v>7</v>
      </c>
      <c r="J56" s="58">
        <f>General!N12</f>
        <v>-5</v>
      </c>
      <c r="K56" s="56" t="s">
        <v>7</v>
      </c>
      <c r="L56" s="57"/>
      <c r="M56" s="56" t="s">
        <v>53</v>
      </c>
      <c r="N56" s="58"/>
      <c r="O56" s="56" t="s">
        <v>7</v>
      </c>
      <c r="P56" s="58">
        <f>IF(G41+H41&gt;4,2,0)</f>
        <v>0</v>
      </c>
      <c r="Q56" s="56" t="s">
        <v>7</v>
      </c>
      <c r="R56" s="58">
        <f>4*Feats!N29+IF(General!B1="Quarian",2,0)</f>
        <v>0</v>
      </c>
      <c r="S56" s="56" t="s">
        <v>7</v>
      </c>
      <c r="T56" s="6"/>
      <c r="U56" s="56" t="s">
        <v>7</v>
      </c>
      <c r="V56" s="106"/>
      <c r="W56" s="640"/>
      <c r="X56" s="641"/>
      <c r="Y56" s="641"/>
      <c r="Z56" s="641"/>
      <c r="AA56" s="641"/>
      <c r="AB56" s="641"/>
      <c r="AC56" s="641"/>
      <c r="AD56" s="641"/>
      <c r="AE56" s="641"/>
      <c r="AF56" s="641"/>
      <c r="AG56" s="642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</row>
    <row r="57" spans="1:59" ht="15.75" thickBot="1" x14ac:dyDescent="0.3">
      <c r="A57" s="30"/>
      <c r="B57" s="111"/>
      <c r="C57" s="91" t="s">
        <v>226</v>
      </c>
      <c r="D57" s="56" t="s">
        <v>13</v>
      </c>
      <c r="E57" s="58" t="str">
        <f>IF(OR(G57&gt;0,H57&gt;0),G57+J57+L57-N57+P57+T57+R57+H57+V57," ")</f>
        <v xml:space="preserve"> </v>
      </c>
      <c r="F57" s="56" t="s">
        <v>6</v>
      </c>
      <c r="G57" s="57"/>
      <c r="H57" s="57"/>
      <c r="I57" s="56" t="s">
        <v>7</v>
      </c>
      <c r="J57" s="58" t="str">
        <f>IF(G57+H57&gt;0,General!$N$12," ")</f>
        <v xml:space="preserve"> </v>
      </c>
      <c r="K57" s="56" t="s">
        <v>7</v>
      </c>
      <c r="L57" s="57"/>
      <c r="M57" s="56" t="s">
        <v>53</v>
      </c>
      <c r="N57" s="58"/>
      <c r="O57" s="56" t="s">
        <v>7</v>
      </c>
      <c r="P57" s="58"/>
      <c r="Q57" s="56" t="s">
        <v>7</v>
      </c>
      <c r="R57" s="58" t="str">
        <f>IF(G57+H57&gt;0,4*Feats!N30," ")</f>
        <v xml:space="preserve"> </v>
      </c>
      <c r="S57" s="56" t="s">
        <v>7</v>
      </c>
      <c r="T57" s="6"/>
      <c r="U57" s="56" t="s">
        <v>7</v>
      </c>
      <c r="V57" s="106"/>
      <c r="W57" s="640"/>
      <c r="X57" s="641"/>
      <c r="Y57" s="641"/>
      <c r="Z57" s="641"/>
      <c r="AA57" s="641"/>
      <c r="AB57" s="641"/>
      <c r="AC57" s="641"/>
      <c r="AD57" s="641"/>
      <c r="AE57" s="641"/>
      <c r="AF57" s="641"/>
      <c r="AG57" s="642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</row>
    <row r="58" spans="1:59" ht="15.75" thickBot="1" x14ac:dyDescent="0.3">
      <c r="A58" s="30"/>
      <c r="B58" s="111"/>
      <c r="C58" s="91" t="s">
        <v>227</v>
      </c>
      <c r="D58" s="56" t="s">
        <v>13</v>
      </c>
      <c r="E58" s="58" t="str">
        <f t="shared" ref="E58:E63" si="5">IF(OR(G58&gt;0,H58&gt;0),G58+J58+L58-N58+P58+T58+R58+H58+V58," ")</f>
        <v xml:space="preserve"> </v>
      </c>
      <c r="F58" s="56" t="s">
        <v>6</v>
      </c>
      <c r="G58" s="57"/>
      <c r="H58" s="57"/>
      <c r="I58" s="56" t="s">
        <v>7</v>
      </c>
      <c r="J58" s="58" t="str">
        <f>IF(G58+H58&gt;0,General!$N$12," ")</f>
        <v xml:space="preserve"> </v>
      </c>
      <c r="K58" s="56" t="s">
        <v>7</v>
      </c>
      <c r="L58" s="57"/>
      <c r="M58" s="56" t="s">
        <v>53</v>
      </c>
      <c r="N58" s="58"/>
      <c r="O58" s="56" t="s">
        <v>7</v>
      </c>
      <c r="P58" s="58"/>
      <c r="Q58" s="56" t="s">
        <v>7</v>
      </c>
      <c r="R58" s="58" t="str">
        <f>IF(G58+H58&gt;0,4*Feats!N31," ")</f>
        <v xml:space="preserve"> </v>
      </c>
      <c r="S58" s="56" t="s">
        <v>7</v>
      </c>
      <c r="T58" s="6"/>
      <c r="U58" s="56" t="s">
        <v>7</v>
      </c>
      <c r="V58" s="106"/>
      <c r="W58" s="640"/>
      <c r="X58" s="641"/>
      <c r="Y58" s="641"/>
      <c r="Z58" s="641"/>
      <c r="AA58" s="641"/>
      <c r="AB58" s="641"/>
      <c r="AC58" s="641"/>
      <c r="AD58" s="641"/>
      <c r="AE58" s="641"/>
      <c r="AF58" s="641"/>
      <c r="AG58" s="642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</row>
    <row r="59" spans="1:59" ht="15.75" thickBot="1" x14ac:dyDescent="0.3">
      <c r="A59" s="30"/>
      <c r="B59" s="111"/>
      <c r="C59" s="91" t="s">
        <v>778</v>
      </c>
      <c r="D59" s="56" t="s">
        <v>13</v>
      </c>
      <c r="E59" s="58" t="str">
        <f t="shared" si="5"/>
        <v xml:space="preserve"> </v>
      </c>
      <c r="F59" s="56" t="s">
        <v>6</v>
      </c>
      <c r="G59" s="57"/>
      <c r="H59" s="57"/>
      <c r="I59" s="56" t="s">
        <v>7</v>
      </c>
      <c r="J59" s="58" t="str">
        <f>IF(G59+H59&gt;0,General!$N$12," ")</f>
        <v xml:space="preserve"> </v>
      </c>
      <c r="K59" s="56" t="s">
        <v>7</v>
      </c>
      <c r="L59" s="57"/>
      <c r="M59" s="56" t="s">
        <v>53</v>
      </c>
      <c r="N59" s="58"/>
      <c r="O59" s="56" t="s">
        <v>7</v>
      </c>
      <c r="P59" s="58"/>
      <c r="Q59" s="56" t="s">
        <v>7</v>
      </c>
      <c r="R59" s="58" t="str">
        <f>IF(G59+H59&gt;0,4*Feats!N32," ")</f>
        <v xml:space="preserve"> </v>
      </c>
      <c r="S59" s="56" t="s">
        <v>7</v>
      </c>
      <c r="T59" s="6"/>
      <c r="U59" s="56" t="s">
        <v>7</v>
      </c>
      <c r="V59" s="106"/>
      <c r="W59" s="640"/>
      <c r="X59" s="641"/>
      <c r="Y59" s="641"/>
      <c r="Z59" s="641"/>
      <c r="AA59" s="641"/>
      <c r="AB59" s="641"/>
      <c r="AC59" s="641"/>
      <c r="AD59" s="641"/>
      <c r="AE59" s="641"/>
      <c r="AF59" s="641"/>
      <c r="AG59" s="642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</row>
    <row r="60" spans="1:59" ht="15.75" thickBot="1" x14ac:dyDescent="0.3">
      <c r="A60" s="30"/>
      <c r="B60" s="111"/>
      <c r="C60" s="91" t="s">
        <v>228</v>
      </c>
      <c r="D60" s="56" t="s">
        <v>13</v>
      </c>
      <c r="E60" s="58" t="str">
        <f t="shared" si="5"/>
        <v xml:space="preserve"> </v>
      </c>
      <c r="F60" s="56" t="s">
        <v>6</v>
      </c>
      <c r="G60" s="57"/>
      <c r="H60" s="57"/>
      <c r="I60" s="56" t="s">
        <v>7</v>
      </c>
      <c r="J60" s="58" t="str">
        <f>IF(G60+H60&gt;0,General!$N$12," ")</f>
        <v xml:space="preserve"> </v>
      </c>
      <c r="K60" s="56" t="s">
        <v>7</v>
      </c>
      <c r="L60" s="57"/>
      <c r="M60" s="56" t="s">
        <v>53</v>
      </c>
      <c r="N60" s="58"/>
      <c r="O60" s="56" t="s">
        <v>7</v>
      </c>
      <c r="P60" s="58"/>
      <c r="Q60" s="56" t="s">
        <v>7</v>
      </c>
      <c r="R60" s="58" t="str">
        <f>IF(G60+H60&gt;0,4*Feats!N33," ")</f>
        <v xml:space="preserve"> </v>
      </c>
      <c r="S60" s="56" t="s">
        <v>7</v>
      </c>
      <c r="T60" s="6"/>
      <c r="U60" s="56" t="s">
        <v>7</v>
      </c>
      <c r="V60" s="106"/>
      <c r="W60" s="640"/>
      <c r="X60" s="641"/>
      <c r="Y60" s="641"/>
      <c r="Z60" s="641"/>
      <c r="AA60" s="641"/>
      <c r="AB60" s="641"/>
      <c r="AC60" s="641"/>
      <c r="AD60" s="641"/>
      <c r="AE60" s="641"/>
      <c r="AF60" s="641"/>
      <c r="AG60" s="642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</row>
    <row r="61" spans="1:59" ht="15.75" thickBot="1" x14ac:dyDescent="0.3">
      <c r="A61" s="30"/>
      <c r="B61" s="111"/>
      <c r="C61" s="91" t="s">
        <v>229</v>
      </c>
      <c r="D61" s="56" t="s">
        <v>13</v>
      </c>
      <c r="E61" s="58" t="str">
        <f t="shared" si="5"/>
        <v xml:space="preserve"> </v>
      </c>
      <c r="F61" s="56" t="s">
        <v>6</v>
      </c>
      <c r="G61" s="57"/>
      <c r="H61" s="57"/>
      <c r="I61" s="56" t="s">
        <v>7</v>
      </c>
      <c r="J61" s="58" t="str">
        <f>IF(G61+H61&gt;0,General!$N$12," ")</f>
        <v xml:space="preserve"> </v>
      </c>
      <c r="K61" s="56" t="s">
        <v>7</v>
      </c>
      <c r="L61" s="57"/>
      <c r="M61" s="56" t="s">
        <v>53</v>
      </c>
      <c r="N61" s="58"/>
      <c r="O61" s="56" t="s">
        <v>7</v>
      </c>
      <c r="P61" s="58"/>
      <c r="Q61" s="56" t="s">
        <v>7</v>
      </c>
      <c r="R61" s="58" t="str">
        <f>IF(G61+H61&gt;0,4*Feats!N34," ")</f>
        <v xml:space="preserve"> </v>
      </c>
      <c r="S61" s="56" t="s">
        <v>7</v>
      </c>
      <c r="T61" s="6"/>
      <c r="U61" s="56" t="s">
        <v>7</v>
      </c>
      <c r="V61" s="106"/>
      <c r="W61" s="640"/>
      <c r="X61" s="641"/>
      <c r="Y61" s="641"/>
      <c r="Z61" s="641"/>
      <c r="AA61" s="641"/>
      <c r="AB61" s="641"/>
      <c r="AC61" s="641"/>
      <c r="AD61" s="641"/>
      <c r="AE61" s="641"/>
      <c r="AF61" s="641"/>
      <c r="AG61" s="642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</row>
    <row r="62" spans="1:59" ht="15.75" thickBot="1" x14ac:dyDescent="0.3">
      <c r="A62" s="30"/>
      <c r="B62" s="111"/>
      <c r="C62" s="91" t="s">
        <v>230</v>
      </c>
      <c r="D62" s="56" t="s">
        <v>13</v>
      </c>
      <c r="E62" s="58" t="str">
        <f t="shared" si="5"/>
        <v xml:space="preserve"> </v>
      </c>
      <c r="F62" s="56" t="s">
        <v>6</v>
      </c>
      <c r="G62" s="57"/>
      <c r="H62" s="57"/>
      <c r="I62" s="56" t="s">
        <v>7</v>
      </c>
      <c r="J62" s="58" t="str">
        <f>IF(G62+H62&gt;0,General!$N$12," ")</f>
        <v xml:space="preserve"> </v>
      </c>
      <c r="K62" s="56" t="s">
        <v>7</v>
      </c>
      <c r="L62" s="57"/>
      <c r="M62" s="56" t="s">
        <v>53</v>
      </c>
      <c r="N62" s="58"/>
      <c r="O62" s="56" t="s">
        <v>7</v>
      </c>
      <c r="P62" s="58"/>
      <c r="Q62" s="56" t="s">
        <v>7</v>
      </c>
      <c r="R62" s="58" t="str">
        <f>IF(G62+H62&gt;0,4*Feats!N35," ")</f>
        <v xml:space="preserve"> </v>
      </c>
      <c r="S62" s="56" t="s">
        <v>7</v>
      </c>
      <c r="T62" s="6"/>
      <c r="U62" s="56" t="s">
        <v>7</v>
      </c>
      <c r="V62" s="106"/>
      <c r="W62" s="640"/>
      <c r="X62" s="641"/>
      <c r="Y62" s="641"/>
      <c r="Z62" s="641"/>
      <c r="AA62" s="641"/>
      <c r="AB62" s="641"/>
      <c r="AC62" s="641"/>
      <c r="AD62" s="641"/>
      <c r="AE62" s="641"/>
      <c r="AF62" s="641"/>
      <c r="AG62" s="642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</row>
    <row r="63" spans="1:59" ht="15.75" thickBot="1" x14ac:dyDescent="0.3">
      <c r="A63" s="30"/>
      <c r="B63" s="111"/>
      <c r="C63" s="91" t="s">
        <v>231</v>
      </c>
      <c r="D63" s="56" t="s">
        <v>13</v>
      </c>
      <c r="E63" s="58" t="str">
        <f t="shared" si="5"/>
        <v xml:space="preserve"> </v>
      </c>
      <c r="F63" s="56" t="s">
        <v>6</v>
      </c>
      <c r="G63" s="57"/>
      <c r="H63" s="57"/>
      <c r="I63" s="56" t="s">
        <v>7</v>
      </c>
      <c r="J63" s="58" t="str">
        <f>IF(G63+H63&gt;0,General!$N$12," ")</f>
        <v xml:space="preserve"> </v>
      </c>
      <c r="K63" s="56" t="s">
        <v>7</v>
      </c>
      <c r="L63" s="57"/>
      <c r="M63" s="56" t="s">
        <v>53</v>
      </c>
      <c r="N63" s="58"/>
      <c r="O63" s="56" t="s">
        <v>7</v>
      </c>
      <c r="P63" s="58"/>
      <c r="Q63" s="56" t="s">
        <v>7</v>
      </c>
      <c r="R63" s="58" t="str">
        <f>IF(G63+H63&gt;0,4*Feats!N36," ")</f>
        <v xml:space="preserve"> </v>
      </c>
      <c r="S63" s="56" t="s">
        <v>7</v>
      </c>
      <c r="T63" s="6"/>
      <c r="U63" s="56" t="s">
        <v>7</v>
      </c>
      <c r="V63" s="106"/>
      <c r="W63" s="640"/>
      <c r="X63" s="641"/>
      <c r="Y63" s="641"/>
      <c r="Z63" s="641"/>
      <c r="AA63" s="641"/>
      <c r="AB63" s="641"/>
      <c r="AC63" s="641"/>
      <c r="AD63" s="641"/>
      <c r="AE63" s="641"/>
      <c r="AF63" s="641"/>
      <c r="AG63" s="642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</row>
    <row r="64" spans="1:59" ht="15.75" thickBot="1" x14ac:dyDescent="0.3">
      <c r="A64" s="30"/>
      <c r="B64" s="111"/>
      <c r="C64" s="91" t="s">
        <v>112</v>
      </c>
      <c r="D64" s="56" t="s">
        <v>13</v>
      </c>
      <c r="E64" s="58">
        <f>G64+J64+L64-N64+P64+T64+R64+H64+V64</f>
        <v>-5</v>
      </c>
      <c r="F64" s="56" t="s">
        <v>6</v>
      </c>
      <c r="G64" s="57"/>
      <c r="H64" s="57"/>
      <c r="I64" s="56" t="s">
        <v>7</v>
      </c>
      <c r="J64" s="58">
        <f>General!N12</f>
        <v>-5</v>
      </c>
      <c r="K64" s="56" t="s">
        <v>7</v>
      </c>
      <c r="L64" s="57"/>
      <c r="M64" s="56" t="s">
        <v>53</v>
      </c>
      <c r="N64" s="58"/>
      <c r="O64" s="56" t="s">
        <v>7</v>
      </c>
      <c r="P64" s="58">
        <f>IF(G30+H30&gt;4,2,0)</f>
        <v>0</v>
      </c>
      <c r="Q64" s="56" t="s">
        <v>7</v>
      </c>
      <c r="R64" s="58">
        <f>4*Feats!N37+Feats!H15*1</f>
        <v>0</v>
      </c>
      <c r="S64" s="56" t="s">
        <v>7</v>
      </c>
      <c r="T64" s="6"/>
      <c r="U64" s="56" t="s">
        <v>7</v>
      </c>
      <c r="V64" s="106"/>
      <c r="W64" s="640" t="s">
        <v>168</v>
      </c>
      <c r="X64" s="641"/>
      <c r="Y64" s="641"/>
      <c r="Z64" s="641"/>
      <c r="AA64" s="641"/>
      <c r="AB64" s="641"/>
      <c r="AC64" s="641"/>
      <c r="AD64" s="641"/>
      <c r="AE64" s="641"/>
      <c r="AF64" s="641"/>
      <c r="AG64" s="642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</row>
    <row r="65" spans="1:59" ht="15.75" thickBot="1" x14ac:dyDescent="0.3">
      <c r="A65" s="30"/>
      <c r="B65" s="111"/>
      <c r="C65" s="91" t="s">
        <v>113</v>
      </c>
      <c r="D65" s="56" t="s">
        <v>15</v>
      </c>
      <c r="E65" s="58">
        <f>G65+J65+L65-N65+P65+T65+R65+H65+V65</f>
        <v>-5</v>
      </c>
      <c r="F65" s="56" t="s">
        <v>6</v>
      </c>
      <c r="G65" s="57"/>
      <c r="H65" s="57"/>
      <c r="I65" s="56" t="s">
        <v>7</v>
      </c>
      <c r="J65" s="58">
        <f>General!N14</f>
        <v>-5</v>
      </c>
      <c r="K65" s="56" t="s">
        <v>7</v>
      </c>
      <c r="L65" s="57"/>
      <c r="M65" s="56" t="s">
        <v>53</v>
      </c>
      <c r="N65" s="58"/>
      <c r="O65" s="56" t="s">
        <v>7</v>
      </c>
      <c r="P65" s="58"/>
      <c r="Q65" s="56" t="s">
        <v>7</v>
      </c>
      <c r="R65" s="58">
        <f>4*Feats!N38+Feats!H27*2+Feats!H35*2+Feats!B33*2+1*Feats!H15+1*Feats!H13</f>
        <v>0</v>
      </c>
      <c r="S65" s="56" t="s">
        <v>7</v>
      </c>
      <c r="T65" s="6"/>
      <c r="U65" s="56" t="s">
        <v>7</v>
      </c>
      <c r="V65" s="106"/>
      <c r="W65" s="640"/>
      <c r="X65" s="641"/>
      <c r="Y65" s="641"/>
      <c r="Z65" s="641"/>
      <c r="AA65" s="641"/>
      <c r="AB65" s="641"/>
      <c r="AC65" s="641"/>
      <c r="AD65" s="641"/>
      <c r="AE65" s="641"/>
      <c r="AF65" s="641"/>
      <c r="AG65" s="642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</row>
    <row r="66" spans="1:59" ht="15.75" thickBot="1" x14ac:dyDescent="0.3">
      <c r="A66" s="30"/>
      <c r="B66" s="111"/>
      <c r="C66" s="91" t="s">
        <v>114</v>
      </c>
      <c r="D66" s="56" t="s">
        <v>9</v>
      </c>
      <c r="E66" s="58" t="str">
        <f>IF(OR(G66&gt;0,H66&gt;0),G66+J66+L66-N66+P66+T66+R66+H66+V66," ")</f>
        <v xml:space="preserve"> </v>
      </c>
      <c r="F66" s="56" t="s">
        <v>6</v>
      </c>
      <c r="G66" s="57"/>
      <c r="H66" s="57"/>
      <c r="I66" s="56" t="s">
        <v>7</v>
      </c>
      <c r="J66" s="58" t="str">
        <f>IF(G66+H66&gt;0,General!$N$8," ")</f>
        <v xml:space="preserve"> </v>
      </c>
      <c r="K66" s="56" t="s">
        <v>7</v>
      </c>
      <c r="L66" s="57"/>
      <c r="M66" s="56" t="s">
        <v>53</v>
      </c>
      <c r="N66" s="58" t="str">
        <f>IF(OR(G66&gt;0,H66&gt;0),-1*IF(General!AE2="Heavy",-6,IF(General!AE2="Medium",-3,0))," ")</f>
        <v xml:space="preserve"> </v>
      </c>
      <c r="O66" s="56" t="s">
        <v>7</v>
      </c>
      <c r="P66" s="58" t="str">
        <f>IF(OR(G66&gt;0,H66&gt;0),IF(G12+H12&gt;4,2,0)," ")</f>
        <v xml:space="preserve"> </v>
      </c>
      <c r="Q66" s="56" t="s">
        <v>7</v>
      </c>
      <c r="R66" s="58" t="str">
        <f>IF(G66+H66&gt;0,4*Feats!N39+1*Feats!K17," ")</f>
        <v xml:space="preserve"> </v>
      </c>
      <c r="S66" s="56" t="s">
        <v>7</v>
      </c>
      <c r="T66" s="6"/>
      <c r="U66" s="56" t="s">
        <v>7</v>
      </c>
      <c r="V66" s="106"/>
      <c r="W66" s="640"/>
      <c r="X66" s="641"/>
      <c r="Y66" s="641"/>
      <c r="Z66" s="641"/>
      <c r="AA66" s="641"/>
      <c r="AB66" s="641"/>
      <c r="AC66" s="641"/>
      <c r="AD66" s="641"/>
      <c r="AE66" s="641"/>
      <c r="AF66" s="641"/>
      <c r="AG66" s="642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</row>
    <row r="67" spans="1:59" ht="15.75" thickBot="1" x14ac:dyDescent="0.3">
      <c r="A67" s="30"/>
      <c r="B67" s="111"/>
      <c r="C67" s="91" t="s">
        <v>115</v>
      </c>
      <c r="D67" s="56" t="s">
        <v>15</v>
      </c>
      <c r="E67" s="58">
        <f>G67+J67+L67-N67+P67+T67+R67+H67+V67</f>
        <v>-5</v>
      </c>
      <c r="F67" s="56" t="s">
        <v>6</v>
      </c>
      <c r="G67" s="57"/>
      <c r="H67" s="57"/>
      <c r="I67" s="56" t="s">
        <v>7</v>
      </c>
      <c r="J67" s="58">
        <f>General!N14</f>
        <v>-5</v>
      </c>
      <c r="K67" s="56" t="s">
        <v>7</v>
      </c>
      <c r="L67" s="57"/>
      <c r="M67" s="56" t="s">
        <v>53</v>
      </c>
      <c r="N67" s="58"/>
      <c r="O67" s="56" t="s">
        <v>7</v>
      </c>
      <c r="P67" s="58"/>
      <c r="Q67" s="56" t="s">
        <v>7</v>
      </c>
      <c r="R67" s="58">
        <f>4*Feats!N40+Feats!B15*2+IF(General!B1="Batarian",4,0)+IF(General!B1="Krogan",2,0)</f>
        <v>0</v>
      </c>
      <c r="S67" s="56" t="s">
        <v>7</v>
      </c>
      <c r="T67" s="6"/>
      <c r="U67" s="56" t="s">
        <v>7</v>
      </c>
      <c r="V67" s="106"/>
      <c r="W67" s="640"/>
      <c r="X67" s="641"/>
      <c r="Y67" s="641"/>
      <c r="Z67" s="641"/>
      <c r="AA67" s="641"/>
      <c r="AB67" s="641"/>
      <c r="AC67" s="641"/>
      <c r="AD67" s="641"/>
      <c r="AE67" s="641"/>
      <c r="AF67" s="641"/>
      <c r="AG67" s="642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</row>
    <row r="68" spans="1:59" ht="15.75" customHeight="1" thickBot="1" x14ac:dyDescent="0.3">
      <c r="A68" s="30"/>
      <c r="B68" s="111"/>
      <c r="C68" s="91" t="s">
        <v>116</v>
      </c>
      <c r="D68" s="56" t="s">
        <v>15</v>
      </c>
      <c r="E68" s="58">
        <f t="shared" ref="E68:E69" si="6">G68+J68+L68-N68+P68+T68+R68+H68+V68</f>
        <v>-5</v>
      </c>
      <c r="F68" s="56" t="s">
        <v>6</v>
      </c>
      <c r="G68" s="57"/>
      <c r="H68" s="57"/>
      <c r="I68" s="56" t="s">
        <v>7</v>
      </c>
      <c r="J68" s="58">
        <f>General!N14</f>
        <v>-5</v>
      </c>
      <c r="K68" s="56" t="s">
        <v>7</v>
      </c>
      <c r="L68" s="57"/>
      <c r="M68" s="56" t="s">
        <v>53</v>
      </c>
      <c r="N68" s="58"/>
      <c r="O68" s="56" t="s">
        <v>7</v>
      </c>
      <c r="P68" s="58">
        <f>IF(G64+H64&gt;4,2,0)</f>
        <v>0</v>
      </c>
      <c r="Q68" s="56" t="s">
        <v>7</v>
      </c>
      <c r="R68" s="58">
        <f>4*Feats!N41</f>
        <v>0</v>
      </c>
      <c r="S68" s="56" t="s">
        <v>7</v>
      </c>
      <c r="T68" s="6"/>
      <c r="U68" s="56" t="s">
        <v>7</v>
      </c>
      <c r="V68" s="106"/>
      <c r="W68" s="640" t="s">
        <v>233</v>
      </c>
      <c r="X68" s="641"/>
      <c r="Y68" s="641"/>
      <c r="Z68" s="641"/>
      <c r="AA68" s="641"/>
      <c r="AB68" s="641"/>
      <c r="AC68" s="641"/>
      <c r="AD68" s="641"/>
      <c r="AE68" s="641"/>
      <c r="AF68" s="641"/>
      <c r="AG68" s="642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</row>
    <row r="69" spans="1:59" ht="15.75" thickBot="1" x14ac:dyDescent="0.3">
      <c r="A69" s="30"/>
      <c r="B69" s="111"/>
      <c r="C69" s="91" t="s">
        <v>117</v>
      </c>
      <c r="D69" s="56" t="s">
        <v>5</v>
      </c>
      <c r="E69" s="58">
        <f t="shared" si="6"/>
        <v>-5</v>
      </c>
      <c r="F69" s="56" t="s">
        <v>6</v>
      </c>
      <c r="G69" s="57"/>
      <c r="H69" s="57"/>
      <c r="I69" s="56" t="s">
        <v>7</v>
      </c>
      <c r="J69" s="58">
        <f>General!N6</f>
        <v>-5</v>
      </c>
      <c r="K69" s="56" t="s">
        <v>7</v>
      </c>
      <c r="L69" s="57"/>
      <c r="M69" s="56" t="s">
        <v>53</v>
      </c>
      <c r="N69" s="58">
        <f>-1*IF(General!AE2="Heavy",-6,IF(General!AE2="Medium",-3,0))</f>
        <v>0</v>
      </c>
      <c r="O69" s="56" t="s">
        <v>7</v>
      </c>
      <c r="P69" s="58"/>
      <c r="Q69" s="56" t="s">
        <v>7</v>
      </c>
      <c r="R69" s="58">
        <f>4*Feats!N42+2*Feats!B32</f>
        <v>0</v>
      </c>
      <c r="S69" s="56" t="s">
        <v>7</v>
      </c>
      <c r="T69" s="6"/>
      <c r="U69" s="56" t="s">
        <v>7</v>
      </c>
      <c r="V69" s="106"/>
      <c r="W69" s="640"/>
      <c r="X69" s="641"/>
      <c r="Y69" s="641"/>
      <c r="Z69" s="641"/>
      <c r="AA69" s="641"/>
      <c r="AB69" s="641"/>
      <c r="AC69" s="641"/>
      <c r="AD69" s="641"/>
      <c r="AE69" s="641"/>
      <c r="AF69" s="641"/>
      <c r="AG69" s="642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</row>
    <row r="70" spans="1:59" ht="15.75" thickBot="1" x14ac:dyDescent="0.3">
      <c r="A70" s="30"/>
      <c r="B70" s="115" t="s">
        <v>188</v>
      </c>
      <c r="C70" s="91" t="s">
        <v>386</v>
      </c>
      <c r="D70" s="56" t="s">
        <v>9</v>
      </c>
      <c r="E70" s="58" t="str">
        <f>IF(OR(G70&gt;0,H70&gt;0),G70+J70+L70-N70+P70+T70+R70+H70+V70," ")</f>
        <v xml:space="preserve"> </v>
      </c>
      <c r="F70" s="56" t="s">
        <v>6</v>
      </c>
      <c r="G70" s="57"/>
      <c r="H70" s="113"/>
      <c r="I70" s="56" t="s">
        <v>7</v>
      </c>
      <c r="J70" s="58" t="str">
        <f>IF(G70+H70&gt;0,General!$N$8," ")</f>
        <v xml:space="preserve"> </v>
      </c>
      <c r="K70" s="56" t="s">
        <v>7</v>
      </c>
      <c r="L70" s="57"/>
      <c r="M70" s="56" t="s">
        <v>53</v>
      </c>
      <c r="N70" s="58" t="str">
        <f>IF(OR(G70&gt;0,H70&gt;0),-1*IF(General!AE2="Heavy",-6,IF(General!AE2="Medium",-3,0))," ")</f>
        <v xml:space="preserve"> </v>
      </c>
      <c r="O70" s="56" t="s">
        <v>7</v>
      </c>
      <c r="P70" s="58"/>
      <c r="Q70" s="56" t="s">
        <v>7</v>
      </c>
      <c r="R70" s="58" t="str">
        <f>IF(G70+H70&gt;0,2*Feats!B11+4*Feats!N43," ")</f>
        <v xml:space="preserve"> </v>
      </c>
      <c r="S70" s="56" t="s">
        <v>7</v>
      </c>
      <c r="T70" s="6"/>
      <c r="U70" s="56" t="s">
        <v>7</v>
      </c>
      <c r="V70" s="6"/>
      <c r="W70" s="640"/>
      <c r="X70" s="641"/>
      <c r="Y70" s="641"/>
      <c r="Z70" s="641"/>
      <c r="AA70" s="641"/>
      <c r="AB70" s="641"/>
      <c r="AC70" s="641"/>
      <c r="AD70" s="641"/>
      <c r="AE70" s="641"/>
      <c r="AF70" s="641"/>
      <c r="AG70" s="642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</row>
    <row r="71" spans="1:59" ht="15.75" thickBot="1" x14ac:dyDescent="0.3">
      <c r="A71" s="30"/>
      <c r="B71" s="111"/>
      <c r="C71" s="91"/>
      <c r="D71" s="56"/>
      <c r="E71" s="6"/>
      <c r="F71" s="56" t="s">
        <v>6</v>
      </c>
      <c r="G71" s="57"/>
      <c r="H71" s="57"/>
      <c r="I71" s="56" t="s">
        <v>7</v>
      </c>
      <c r="J71" s="6"/>
      <c r="K71" s="56" t="s">
        <v>7</v>
      </c>
      <c r="L71" s="57"/>
      <c r="M71" s="56" t="s">
        <v>53</v>
      </c>
      <c r="N71" s="6"/>
      <c r="O71" s="56" t="s">
        <v>7</v>
      </c>
      <c r="P71" s="57"/>
      <c r="Q71" s="56" t="s">
        <v>7</v>
      </c>
      <c r="R71" s="57"/>
      <c r="S71" s="56" t="s">
        <v>7</v>
      </c>
      <c r="T71" s="6"/>
      <c r="U71" s="56" t="s">
        <v>7</v>
      </c>
      <c r="V71" s="6"/>
      <c r="W71" s="640"/>
      <c r="X71" s="641"/>
      <c r="Y71" s="641"/>
      <c r="Z71" s="641"/>
      <c r="AA71" s="641"/>
      <c r="AB71" s="641"/>
      <c r="AC71" s="641"/>
      <c r="AD71" s="641"/>
      <c r="AE71" s="641"/>
      <c r="AF71" s="641"/>
      <c r="AG71" s="642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</row>
    <row r="72" spans="1:59" ht="15.75" thickBot="1" x14ac:dyDescent="0.3">
      <c r="A72" s="30"/>
      <c r="B72" s="111"/>
      <c r="C72" s="91"/>
      <c r="D72" s="56"/>
      <c r="E72" s="6"/>
      <c r="F72" s="56" t="s">
        <v>6</v>
      </c>
      <c r="G72" s="57"/>
      <c r="H72" s="57"/>
      <c r="I72" s="56" t="s">
        <v>7</v>
      </c>
      <c r="J72" s="6"/>
      <c r="K72" s="56" t="s">
        <v>7</v>
      </c>
      <c r="L72" s="57"/>
      <c r="M72" s="56" t="s">
        <v>53</v>
      </c>
      <c r="N72" s="6"/>
      <c r="O72" s="56" t="s">
        <v>7</v>
      </c>
      <c r="P72" s="57"/>
      <c r="Q72" s="56" t="s">
        <v>7</v>
      </c>
      <c r="R72" s="57"/>
      <c r="S72" s="56" t="s">
        <v>7</v>
      </c>
      <c r="T72" s="6"/>
      <c r="U72" s="56" t="s">
        <v>7</v>
      </c>
      <c r="V72" s="6"/>
      <c r="W72" s="640"/>
      <c r="X72" s="641"/>
      <c r="Y72" s="641"/>
      <c r="Z72" s="641"/>
      <c r="AA72" s="641"/>
      <c r="AB72" s="641"/>
      <c r="AC72" s="641"/>
      <c r="AD72" s="641"/>
      <c r="AE72" s="641"/>
      <c r="AF72" s="641"/>
      <c r="AG72" s="642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</row>
    <row r="73" spans="1:59" ht="15.75" thickBot="1" x14ac:dyDescent="0.3">
      <c r="A73" s="30"/>
      <c r="B73" s="112"/>
      <c r="C73" s="91"/>
      <c r="D73" s="56"/>
      <c r="E73" s="6"/>
      <c r="F73" s="56" t="s">
        <v>6</v>
      </c>
      <c r="G73" s="57"/>
      <c r="H73" s="57"/>
      <c r="I73" s="56" t="s">
        <v>7</v>
      </c>
      <c r="J73" s="6"/>
      <c r="K73" s="56" t="s">
        <v>7</v>
      </c>
      <c r="L73" s="57"/>
      <c r="M73" s="56" t="s">
        <v>53</v>
      </c>
      <c r="N73" s="6"/>
      <c r="O73" s="56" t="s">
        <v>7</v>
      </c>
      <c r="P73" s="57"/>
      <c r="Q73" s="56" t="s">
        <v>7</v>
      </c>
      <c r="R73" s="57"/>
      <c r="S73" s="56" t="s">
        <v>7</v>
      </c>
      <c r="T73" s="6"/>
      <c r="U73" s="56" t="s">
        <v>7</v>
      </c>
      <c r="V73" s="6"/>
      <c r="W73" s="640"/>
      <c r="X73" s="641"/>
      <c r="Y73" s="641"/>
      <c r="Z73" s="641"/>
      <c r="AA73" s="641"/>
      <c r="AB73" s="641"/>
      <c r="AC73" s="641"/>
      <c r="AD73" s="641"/>
      <c r="AE73" s="641"/>
      <c r="AF73" s="641"/>
      <c r="AG73" s="642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</row>
    <row r="74" spans="1:59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</row>
    <row r="75" spans="1:59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</row>
    <row r="76" spans="1:59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</row>
    <row r="77" spans="1:59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</row>
    <row r="78" spans="1:59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</row>
    <row r="79" spans="1:59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</row>
    <row r="80" spans="1:59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</row>
    <row r="81" spans="1:59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</row>
    <row r="82" spans="1:59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</row>
    <row r="83" spans="1:59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</row>
    <row r="84" spans="1:59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</row>
    <row r="85" spans="1:59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</row>
    <row r="86" spans="1:59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</row>
    <row r="87" spans="1:59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</row>
    <row r="88" spans="1:59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</row>
    <row r="89" spans="1:59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</row>
    <row r="90" spans="1:59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</row>
    <row r="91" spans="1:59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</row>
    <row r="92" spans="1:59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</row>
    <row r="93" spans="1:59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</row>
    <row r="94" spans="1:59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</row>
    <row r="95" spans="1:59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</row>
    <row r="96" spans="1:59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</row>
    <row r="97" spans="1:59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</row>
    <row r="98" spans="1:59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</row>
    <row r="99" spans="1:59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</row>
    <row r="100" spans="1:59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</row>
    <row r="101" spans="1:59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</row>
    <row r="102" spans="1:59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</row>
    <row r="103" spans="1:59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</row>
    <row r="104" spans="1:59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</row>
    <row r="105" spans="1:59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</row>
    <row r="106" spans="1:59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</row>
    <row r="107" spans="1:59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</row>
    <row r="108" spans="1:59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</row>
    <row r="109" spans="1:59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</row>
    <row r="110" spans="1:59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</row>
    <row r="111" spans="1:59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</row>
  </sheetData>
  <mergeCells count="103">
    <mergeCell ref="G3:H3"/>
    <mergeCell ref="G4:H4"/>
    <mergeCell ref="H8:H9"/>
    <mergeCell ref="AJ1:AP1"/>
    <mergeCell ref="AJ8:AJ9"/>
    <mergeCell ref="AK8:AK9"/>
    <mergeCell ref="AL8:AL9"/>
    <mergeCell ref="AM8:AM9"/>
    <mergeCell ref="AJ3:AL3"/>
    <mergeCell ref="AJ4:AL4"/>
    <mergeCell ref="AM6:AO6"/>
    <mergeCell ref="AJ6:AL6"/>
    <mergeCell ref="AO8:AO9"/>
    <mergeCell ref="G6:J6"/>
    <mergeCell ref="K6:L6"/>
    <mergeCell ref="K7:L7"/>
    <mergeCell ref="N6:S6"/>
    <mergeCell ref="AB5:AD5"/>
    <mergeCell ref="O4:U4"/>
    <mergeCell ref="O3:U3"/>
    <mergeCell ref="A1:AG1"/>
    <mergeCell ref="T8:T9"/>
    <mergeCell ref="B6:C6"/>
    <mergeCell ref="D5:E5"/>
    <mergeCell ref="W73:AG73"/>
    <mergeCell ref="W66:AG66"/>
    <mergeCell ref="W67:AG67"/>
    <mergeCell ref="W69:AG69"/>
    <mergeCell ref="W68:AG68"/>
    <mergeCell ref="W70:AG70"/>
    <mergeCell ref="W71:AG71"/>
    <mergeCell ref="W34:AG34"/>
    <mergeCell ref="W35:AG35"/>
    <mergeCell ref="W36:AG36"/>
    <mergeCell ref="W37:AG37"/>
    <mergeCell ref="W61:AG61"/>
    <mergeCell ref="D6:E6"/>
    <mergeCell ref="J8:J9"/>
    <mergeCell ref="L8:L9"/>
    <mergeCell ref="N8:N9"/>
    <mergeCell ref="P8:P9"/>
    <mergeCell ref="R8:R9"/>
    <mergeCell ref="W72:AG72"/>
    <mergeCell ref="W48:AG48"/>
    <mergeCell ref="W49:AG49"/>
    <mergeCell ref="W50:AG50"/>
    <mergeCell ref="W51:AG51"/>
    <mergeCell ref="W52:AG52"/>
    <mergeCell ref="W53:AG53"/>
    <mergeCell ref="W54:AG54"/>
    <mergeCell ref="W55:AG55"/>
    <mergeCell ref="W64:AG64"/>
    <mergeCell ref="W65:AG65"/>
    <mergeCell ref="W13:AG13"/>
    <mergeCell ref="W15:AG15"/>
    <mergeCell ref="W25:AG25"/>
    <mergeCell ref="W26:AG26"/>
    <mergeCell ref="W28:AG28"/>
    <mergeCell ref="W62:AG62"/>
    <mergeCell ref="W63:AG63"/>
    <mergeCell ref="AE5:AG5"/>
    <mergeCell ref="AD3:AE3"/>
    <mergeCell ref="AD4:AE4"/>
    <mergeCell ref="D8:D9"/>
    <mergeCell ref="W45:AG45"/>
    <mergeCell ref="W46:AG46"/>
    <mergeCell ref="W47:AG47"/>
    <mergeCell ref="V8:V9"/>
    <mergeCell ref="W8:X9"/>
    <mergeCell ref="W21:AG21"/>
    <mergeCell ref="W19:AG19"/>
    <mergeCell ref="W22:AG22"/>
    <mergeCell ref="W24:AG24"/>
    <mergeCell ref="W23:AG23"/>
    <mergeCell ref="W18:AG18"/>
    <mergeCell ref="E8:E9"/>
    <mergeCell ref="G8:G9"/>
    <mergeCell ref="W38:AG38"/>
    <mergeCell ref="W39:AG39"/>
    <mergeCell ref="W43:AG43"/>
    <mergeCell ref="W42:AG42"/>
    <mergeCell ref="W33:AG33"/>
    <mergeCell ref="W29:AG29"/>
    <mergeCell ref="W10:AG10"/>
    <mergeCell ref="Y8:AG8"/>
    <mergeCell ref="W40:AG40"/>
    <mergeCell ref="W41:AG41"/>
    <mergeCell ref="W44:AG44"/>
    <mergeCell ref="W56:AG56"/>
    <mergeCell ref="W57:AG57"/>
    <mergeCell ref="W58:AG58"/>
    <mergeCell ref="W59:AG59"/>
    <mergeCell ref="W60:AG60"/>
    <mergeCell ref="W30:AG30"/>
    <mergeCell ref="W17:AG17"/>
    <mergeCell ref="W31:AG31"/>
    <mergeCell ref="W32:AG32"/>
    <mergeCell ref="W12:AG12"/>
    <mergeCell ref="W14:AG14"/>
    <mergeCell ref="W11:AG11"/>
    <mergeCell ref="W16:AG16"/>
    <mergeCell ref="W20:AG20"/>
    <mergeCell ref="W27:AG27"/>
  </mergeCells>
  <conditionalFormatting sqref="AE5:AG5">
    <cfRule type="expression" dxfId="46" priority="315">
      <formula>OR($AE$5="Skill Points Missing",$AE$5="Remove Skill Points")</formula>
    </cfRule>
    <cfRule type="expression" dxfId="45" priority="318">
      <formula>$AE$5="Skill Points OK"</formula>
    </cfRule>
  </conditionalFormatting>
  <conditionalFormatting sqref="G10:H11">
    <cfRule type="expression" dxfId="44" priority="311">
      <formula>IF(OR(A10="y",B10="y"),G10&gt;$D$5)</formula>
    </cfRule>
    <cfRule type="expression" dxfId="43" priority="312">
      <formula>IF(OR(A10="y",B10="y"),G10=$D$5)</formula>
    </cfRule>
  </conditionalFormatting>
  <conditionalFormatting sqref="G12:H12">
    <cfRule type="expression" dxfId="42" priority="309">
      <formula>IF(OR(A12="y",B12="y"),G12&gt;$D$5)</formula>
    </cfRule>
    <cfRule type="expression" dxfId="41" priority="310">
      <formula>IF(OR(A12="y",B12="y"),G12=$D$5)</formula>
    </cfRule>
  </conditionalFormatting>
  <conditionalFormatting sqref="G13:H13">
    <cfRule type="expression" dxfId="40" priority="307">
      <formula>IF(OR(A13="y",B13="y"),G13&gt;$D$5)</formula>
    </cfRule>
    <cfRule type="expression" dxfId="39" priority="308">
      <formula>IF(OR(A13="y",B13="y"),G13=$D$5)</formula>
    </cfRule>
  </conditionalFormatting>
  <conditionalFormatting sqref="G14">
    <cfRule type="expression" dxfId="38" priority="305">
      <formula>IF(OR(A14="y",B14="y"),G14&gt;$D$5)</formula>
    </cfRule>
    <cfRule type="expression" dxfId="37" priority="306">
      <formula>IF(OR(A14="y",B14="y"),G14=$D$5)</formula>
    </cfRule>
  </conditionalFormatting>
  <conditionalFormatting sqref="G15:H16">
    <cfRule type="expression" dxfId="36" priority="297">
      <formula>IF(OR(A15="y",B15="y"),G15&gt;$D$5)</formula>
    </cfRule>
    <cfRule type="expression" dxfId="35" priority="298">
      <formula>IF(OR(A15="y",B15="y"),G15=$D$5)</formula>
    </cfRule>
  </conditionalFormatting>
  <conditionalFormatting sqref="G18:H18">
    <cfRule type="expression" dxfId="34" priority="291">
      <formula>IF(OR(A18="y",B18="y"),G18&gt;$D$5)</formula>
    </cfRule>
    <cfRule type="expression" dxfId="33" priority="292">
      <formula>IF(OR(A18="y",B18="y"),G18=$D$5)</formula>
    </cfRule>
  </conditionalFormatting>
  <conditionalFormatting sqref="G19:H21">
    <cfRule type="expression" dxfId="32" priority="287">
      <formula>IF(OR(A19="y",B19="y"),G19&gt;$D$5)</formula>
    </cfRule>
    <cfRule type="expression" dxfId="31" priority="288">
      <formula>IF(OR(A19="y",B19="y"),G19=$D$5)</formula>
    </cfRule>
  </conditionalFormatting>
  <conditionalFormatting sqref="G22:H22">
    <cfRule type="expression" dxfId="30" priority="285">
      <formula>IF(OR(A22="y",B22="y"),G22&gt;$D$5)</formula>
    </cfRule>
    <cfRule type="expression" dxfId="29" priority="286">
      <formula>IF(OR(A22="y",B22="y"),G22=$D$5)</formula>
    </cfRule>
  </conditionalFormatting>
  <conditionalFormatting sqref="G23:H23">
    <cfRule type="expression" dxfId="28" priority="283">
      <formula>IF(OR(A23="y",B23="y"),G23&gt;$D$5)</formula>
    </cfRule>
    <cfRule type="expression" dxfId="27" priority="284">
      <formula>IF(OR(A23="y",B23="y"),G23=$D$5)</formula>
    </cfRule>
  </conditionalFormatting>
  <conditionalFormatting sqref="G24:H24">
    <cfRule type="expression" dxfId="26" priority="281">
      <formula>IF(OR(A24="y",B24="y"),G24&gt;$D$5)</formula>
    </cfRule>
    <cfRule type="expression" dxfId="25" priority="282">
      <formula>IF(OR(A24="y",B24="y"),G24=$D$5)</formula>
    </cfRule>
  </conditionalFormatting>
  <conditionalFormatting sqref="H15:H16 G18:H25 G10:G16 H10:H13 G27:G73 H27:H69 H71:H73">
    <cfRule type="expression" dxfId="24" priority="321">
      <formula>IF(AND(A10=0,B10=0),G10=$D$6)</formula>
    </cfRule>
    <cfRule type="expression" dxfId="23" priority="322">
      <formula>IF(AND(A10=0,B10=0),G10&gt;$D$6)</formula>
    </cfRule>
    <cfRule type="expression" dxfId="22" priority="323">
      <formula>IF(OR(A10="y",B10="y"),G10&gt;$D$5)</formula>
    </cfRule>
    <cfRule type="expression" dxfId="21" priority="324">
      <formula>IF(OR(A10="y",B10="y"),G10=$D$5)</formula>
    </cfRule>
  </conditionalFormatting>
  <conditionalFormatting sqref="AM6:AO6">
    <cfRule type="expression" dxfId="20" priority="35">
      <formula>$AM$6="Skill Points OK"</formula>
    </cfRule>
    <cfRule type="expression" dxfId="19" priority="36">
      <formula>OR($AM$6="Skill Points Missing",$AM$6="Remove Skill Points")</formula>
    </cfRule>
  </conditionalFormatting>
  <conditionalFormatting sqref="G27:G73 G10:G16 G18:G25">
    <cfRule type="expression" dxfId="18" priority="31">
      <formula>IF(AND(A10=0,B10=0),G10+H10=$D$6)</formula>
    </cfRule>
    <cfRule type="expression" dxfId="17" priority="32">
      <formula>IF(AND(A10=0,B10=0),G10+H10&gt;$D$6)</formula>
    </cfRule>
    <cfRule type="expression" dxfId="16" priority="33">
      <formula>IF(OR(A10="y",B10="y"),G10+H10&gt;$D$5)</formula>
    </cfRule>
    <cfRule type="expression" dxfId="15" priority="34">
      <formula>IF(OR(A10="y",B10="y"),G10+H10=$D$5)</formula>
    </cfRule>
  </conditionalFormatting>
  <conditionalFormatting sqref="H15:H16 H18:H25 H10:H13 H27:H69 H71:H73">
    <cfRule type="expression" dxfId="14" priority="27">
      <formula>IF(AND(A10=0,B10=0),H10+G10=$D$6)</formula>
    </cfRule>
    <cfRule type="expression" dxfId="13" priority="28">
      <formula>IF(AND(A10=0,B10=0),H10+G10&gt;$D$6)</formula>
    </cfRule>
    <cfRule type="expression" dxfId="12" priority="29">
      <formula>IF(OR(A10="y",B10="y"),H10+G10&gt;$D$5)</formula>
    </cfRule>
    <cfRule type="expression" dxfId="11" priority="30">
      <formula>IF(OR(A10="y",B10="y"),H10+G10=$D$5)</formula>
    </cfRule>
  </conditionalFormatting>
  <conditionalFormatting sqref="G15:H15">
    <cfRule type="expression" dxfId="10" priority="13">
      <formula>OR($G$19=0,$G$19=1,$G$19=2,$G$19=3)</formula>
    </cfRule>
  </conditionalFormatting>
  <conditionalFormatting sqref="G16:H16">
    <cfRule type="expression" dxfId="9" priority="11">
      <formula>OR($G$19=0,$G$19=1)</formula>
    </cfRule>
  </conditionalFormatting>
  <conditionalFormatting sqref="G23:H23">
    <cfRule type="expression" dxfId="8" priority="9">
      <formula>OR($G$19=0,$G$19=1,$G$19=2,$G$19=3,$G$16=0,$G$16=1,$G$16=2,$G$16=3)</formula>
    </cfRule>
  </conditionalFormatting>
  <conditionalFormatting sqref="G44:H44">
    <cfRule type="expression" dxfId="7" priority="7">
      <formula>OR($G$20=0,$G$20=1,$G$20=2,$G$20=3)</formula>
    </cfRule>
  </conditionalFormatting>
  <conditionalFormatting sqref="G17">
    <cfRule type="expression" dxfId="6" priority="3">
      <formula>$G$17=$B$2</formula>
    </cfRule>
    <cfRule type="expression" dxfId="5" priority="4">
      <formula>$G$17&gt;$B$2</formula>
    </cfRule>
  </conditionalFormatting>
  <conditionalFormatting sqref="G26">
    <cfRule type="expression" dxfId="4" priority="1">
      <formula>$G$26=$B$3</formula>
    </cfRule>
    <cfRule type="expression" dxfId="3" priority="2">
      <formula>$G$26&gt;$B$3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250"/>
  <sheetViews>
    <sheetView zoomScaleNormal="100" workbookViewId="0">
      <selection activeCell="H40" sqref="H40"/>
    </sheetView>
  </sheetViews>
  <sheetFormatPr defaultColWidth="9.140625" defaultRowHeight="15" x14ac:dyDescent="0.25"/>
  <cols>
    <col min="1" max="1" width="23.7109375" style="8" customWidth="1"/>
    <col min="2" max="2" width="6.7109375" style="8" customWidth="1"/>
    <col min="3" max="3" width="2.42578125" style="8" customWidth="1"/>
    <col min="4" max="4" width="23.7109375" style="8" customWidth="1"/>
    <col min="5" max="5" width="6.7109375" style="8" customWidth="1"/>
    <col min="6" max="6" width="2.42578125" style="8" customWidth="1"/>
    <col min="7" max="7" width="23.7109375" style="8" customWidth="1"/>
    <col min="8" max="8" width="6.7109375" style="8" customWidth="1"/>
    <col min="9" max="9" width="3.140625" style="8" customWidth="1"/>
    <col min="10" max="10" width="23.7109375" style="8" customWidth="1"/>
    <col min="11" max="11" width="6.7109375" style="8" customWidth="1"/>
    <col min="12" max="12" width="2.42578125" style="8" customWidth="1"/>
    <col min="13" max="13" width="23.7109375" style="8" customWidth="1"/>
    <col min="14" max="14" width="6.7109375" style="8" customWidth="1"/>
    <col min="15" max="15" width="2.42578125" style="8" customWidth="1"/>
    <col min="16" max="16" width="23.85546875" style="8" customWidth="1"/>
    <col min="17" max="17" width="6.7109375" style="8" customWidth="1"/>
    <col min="18" max="18" width="2.7109375" style="8" customWidth="1"/>
    <col min="19" max="19" width="2.85546875" style="8" customWidth="1"/>
    <col min="20" max="16384" width="9.140625" style="8"/>
  </cols>
  <sheetData>
    <row r="1" spans="1:63" ht="15.75" x14ac:dyDescent="0.25">
      <c r="A1" s="572" t="s">
        <v>129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4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</row>
    <row r="2" spans="1:63" x14ac:dyDescent="0.25">
      <c r="A2" s="659"/>
      <c r="B2" s="660"/>
      <c r="C2" s="661"/>
      <c r="D2" s="659"/>
      <c r="E2" s="660"/>
      <c r="F2" s="661"/>
      <c r="G2" s="659"/>
      <c r="H2" s="660"/>
      <c r="I2" s="661"/>
      <c r="J2" s="659"/>
      <c r="K2" s="660"/>
      <c r="L2" s="661"/>
      <c r="M2" s="659"/>
      <c r="N2" s="660"/>
      <c r="O2" s="661"/>
      <c r="P2" s="659"/>
      <c r="Q2" s="660"/>
      <c r="R2" s="661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</row>
    <row r="3" spans="1:63" x14ac:dyDescent="0.25">
      <c r="A3" s="662"/>
      <c r="B3" s="663"/>
      <c r="C3" s="664"/>
      <c r="D3" s="662"/>
      <c r="E3" s="663"/>
      <c r="F3" s="664"/>
      <c r="G3" s="662"/>
      <c r="H3" s="663"/>
      <c r="I3" s="664"/>
      <c r="J3" s="662"/>
      <c r="K3" s="663"/>
      <c r="L3" s="664"/>
      <c r="M3" s="662"/>
      <c r="N3" s="663"/>
      <c r="O3" s="664"/>
      <c r="P3" s="662"/>
      <c r="Q3" s="663"/>
      <c r="R3" s="664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</row>
    <row r="4" spans="1:63" x14ac:dyDescent="0.25">
      <c r="A4" s="659"/>
      <c r="B4" s="660"/>
      <c r="C4" s="661"/>
      <c r="D4" s="659"/>
      <c r="E4" s="660"/>
      <c r="F4" s="661"/>
      <c r="G4" s="659"/>
      <c r="H4" s="660"/>
      <c r="I4" s="661"/>
      <c r="J4" s="659"/>
      <c r="K4" s="660"/>
      <c r="L4" s="661"/>
      <c r="M4" s="659"/>
      <c r="N4" s="660"/>
      <c r="O4" s="661"/>
      <c r="P4" s="659"/>
      <c r="Q4" s="660"/>
      <c r="R4" s="661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</row>
    <row r="5" spans="1:63" x14ac:dyDescent="0.25">
      <c r="A5" s="662"/>
      <c r="B5" s="663"/>
      <c r="C5" s="664"/>
      <c r="D5" s="662"/>
      <c r="E5" s="663"/>
      <c r="F5" s="664"/>
      <c r="G5" s="662"/>
      <c r="H5" s="663"/>
      <c r="I5" s="664"/>
      <c r="J5" s="662"/>
      <c r="K5" s="663"/>
      <c r="L5" s="664"/>
      <c r="M5" s="662"/>
      <c r="N5" s="663"/>
      <c r="O5" s="664"/>
      <c r="P5" s="662"/>
      <c r="Q5" s="663"/>
      <c r="R5" s="664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</row>
    <row r="6" spans="1:63" x14ac:dyDescent="0.25">
      <c r="A6" s="659"/>
      <c r="B6" s="660"/>
      <c r="C6" s="661"/>
      <c r="D6" s="659"/>
      <c r="E6" s="660"/>
      <c r="F6" s="661"/>
      <c r="G6" s="659"/>
      <c r="H6" s="660"/>
      <c r="I6" s="661"/>
      <c r="J6" s="659"/>
      <c r="K6" s="660"/>
      <c r="L6" s="661"/>
      <c r="M6" s="659"/>
      <c r="N6" s="660"/>
      <c r="O6" s="661"/>
      <c r="P6" s="659"/>
      <c r="Q6" s="660"/>
      <c r="R6" s="661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</row>
    <row r="7" spans="1:63" x14ac:dyDescent="0.25">
      <c r="A7" s="662"/>
      <c r="B7" s="663"/>
      <c r="C7" s="664"/>
      <c r="D7" s="662"/>
      <c r="E7" s="663"/>
      <c r="F7" s="664"/>
      <c r="G7" s="662"/>
      <c r="H7" s="663"/>
      <c r="I7" s="664"/>
      <c r="J7" s="662"/>
      <c r="K7" s="663"/>
      <c r="L7" s="664"/>
      <c r="M7" s="662"/>
      <c r="N7" s="663"/>
      <c r="O7" s="664"/>
      <c r="P7" s="662"/>
      <c r="Q7" s="663"/>
      <c r="R7" s="664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</row>
    <row r="8" spans="1:63" ht="11.25" customHeight="1" x14ac:dyDescent="0.25">
      <c r="A8" s="665" t="s">
        <v>273</v>
      </c>
      <c r="B8" s="665"/>
      <c r="C8" s="665"/>
      <c r="D8" s="665"/>
      <c r="E8" s="665"/>
      <c r="F8" s="665"/>
      <c r="G8" s="665"/>
      <c r="H8" s="665"/>
      <c r="I8" s="665"/>
      <c r="J8" s="665"/>
      <c r="K8" s="665"/>
      <c r="L8" s="665"/>
      <c r="M8" s="665"/>
      <c r="N8" s="665"/>
      <c r="O8" s="665"/>
      <c r="P8" s="665"/>
      <c r="Q8" s="665"/>
      <c r="R8" s="665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</row>
    <row r="9" spans="1:63" ht="11.25" customHeight="1" x14ac:dyDescent="0.25">
      <c r="A9" s="666"/>
      <c r="B9" s="666"/>
      <c r="C9" s="666"/>
      <c r="D9" s="666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</row>
    <row r="10" spans="1:63" x14ac:dyDescent="0.25">
      <c r="A10" s="122" t="s">
        <v>274</v>
      </c>
      <c r="B10" s="231"/>
      <c r="C10" s="29"/>
      <c r="D10" s="123" t="s">
        <v>398</v>
      </c>
      <c r="E10" s="231"/>
      <c r="F10" s="29"/>
      <c r="G10" s="123" t="s">
        <v>300</v>
      </c>
      <c r="H10" s="231"/>
      <c r="I10" s="29"/>
      <c r="J10" s="123" t="s">
        <v>134</v>
      </c>
      <c r="K10" s="229"/>
      <c r="L10" s="29"/>
      <c r="M10" s="125" t="s">
        <v>369</v>
      </c>
      <c r="N10" s="229"/>
      <c r="O10" s="29"/>
      <c r="P10" s="123" t="s">
        <v>243</v>
      </c>
      <c r="Q10" s="2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</row>
    <row r="11" spans="1:63" x14ac:dyDescent="0.25">
      <c r="A11" s="122" t="s">
        <v>234</v>
      </c>
      <c r="B11" s="229"/>
      <c r="C11" s="29"/>
      <c r="D11" s="123" t="s">
        <v>1686</v>
      </c>
      <c r="E11" s="436"/>
      <c r="F11" s="29"/>
      <c r="G11" s="123" t="s">
        <v>197</v>
      </c>
      <c r="H11" s="229"/>
      <c r="I11" s="29"/>
      <c r="J11" s="123" t="s">
        <v>310</v>
      </c>
      <c r="K11" s="231"/>
      <c r="L11" s="29"/>
      <c r="M11" s="125" t="s">
        <v>347</v>
      </c>
      <c r="N11" s="229"/>
      <c r="O11" s="29"/>
      <c r="P11" s="123" t="s">
        <v>371</v>
      </c>
      <c r="Q11" s="231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</row>
    <row r="12" spans="1:63" x14ac:dyDescent="0.25">
      <c r="A12" s="123" t="s">
        <v>1502</v>
      </c>
      <c r="B12" s="358"/>
      <c r="C12" s="29"/>
      <c r="D12" s="123" t="s">
        <v>1687</v>
      </c>
      <c r="E12" s="436"/>
      <c r="F12" s="29"/>
      <c r="G12" s="123" t="s">
        <v>302</v>
      </c>
      <c r="H12" s="231"/>
      <c r="I12" s="29"/>
      <c r="J12" s="123" t="s">
        <v>1506</v>
      </c>
      <c r="K12" s="359"/>
      <c r="L12" s="29"/>
      <c r="M12" s="125" t="s">
        <v>348</v>
      </c>
      <c r="N12" s="229"/>
      <c r="O12" s="29"/>
      <c r="P12" s="123" t="s">
        <v>1755</v>
      </c>
      <c r="Q12" s="460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</row>
    <row r="13" spans="1:63" x14ac:dyDescent="0.25">
      <c r="A13" s="122" t="s">
        <v>1496</v>
      </c>
      <c r="B13" s="353"/>
      <c r="C13" s="29"/>
      <c r="D13" s="123" t="s">
        <v>1677</v>
      </c>
      <c r="E13" s="435"/>
      <c r="F13" s="29"/>
      <c r="G13" s="123" t="s">
        <v>1197</v>
      </c>
      <c r="H13" s="287"/>
      <c r="I13" s="29"/>
      <c r="J13" s="123" t="s">
        <v>311</v>
      </c>
      <c r="K13" s="231"/>
      <c r="L13" s="29"/>
      <c r="M13" s="125" t="s">
        <v>349</v>
      </c>
      <c r="N13" s="229"/>
      <c r="O13" s="29"/>
      <c r="P13" s="123" t="s">
        <v>414</v>
      </c>
      <c r="Q13" s="231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</row>
    <row r="14" spans="1:63" x14ac:dyDescent="0.25">
      <c r="A14" s="122" t="s">
        <v>235</v>
      </c>
      <c r="B14" s="229"/>
      <c r="C14" s="29"/>
      <c r="D14" s="123" t="s">
        <v>403</v>
      </c>
      <c r="E14" s="229"/>
      <c r="F14" s="29"/>
      <c r="G14" s="123" t="s">
        <v>238</v>
      </c>
      <c r="H14" s="229"/>
      <c r="I14" s="29"/>
      <c r="J14" s="123" t="s">
        <v>312</v>
      </c>
      <c r="K14" s="231"/>
      <c r="L14" s="29"/>
      <c r="M14" s="125" t="s">
        <v>350</v>
      </c>
      <c r="N14" s="231"/>
      <c r="O14" s="29"/>
      <c r="P14" s="123" t="s">
        <v>415</v>
      </c>
      <c r="Q14" s="231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</row>
    <row r="15" spans="1:63" ht="15" customHeight="1" x14ac:dyDescent="0.25">
      <c r="A15" s="123" t="s">
        <v>236</v>
      </c>
      <c r="B15" s="229"/>
      <c r="C15" s="29"/>
      <c r="D15" s="123" t="s">
        <v>1688</v>
      </c>
      <c r="E15" s="436"/>
      <c r="F15" s="29"/>
      <c r="G15" s="123" t="s">
        <v>239</v>
      </c>
      <c r="H15" s="229"/>
      <c r="I15" s="29"/>
      <c r="J15" s="123" t="s">
        <v>411</v>
      </c>
      <c r="K15" s="231"/>
      <c r="L15" s="29"/>
      <c r="M15" s="125" t="s">
        <v>368</v>
      </c>
      <c r="N15" s="231"/>
      <c r="O15" s="29"/>
      <c r="P15" s="123" t="s">
        <v>1756</v>
      </c>
      <c r="Q15" s="460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</row>
    <row r="16" spans="1:63" ht="15" customHeight="1" x14ac:dyDescent="0.25">
      <c r="A16" s="123" t="s">
        <v>387</v>
      </c>
      <c r="B16" s="231"/>
      <c r="C16" s="29"/>
      <c r="D16" s="123" t="s">
        <v>1493</v>
      </c>
      <c r="E16" s="353"/>
      <c r="F16" s="29"/>
      <c r="G16" s="123" t="s">
        <v>303</v>
      </c>
      <c r="H16" s="231"/>
      <c r="I16" s="29"/>
      <c r="J16" s="123" t="s">
        <v>1474</v>
      </c>
      <c r="K16" s="354"/>
      <c r="L16" s="29"/>
      <c r="M16" s="125" t="s">
        <v>331</v>
      </c>
      <c r="N16" s="229"/>
      <c r="O16" s="29"/>
      <c r="P16" s="123" t="s">
        <v>1757</v>
      </c>
      <c r="Q16" s="460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</row>
    <row r="17" spans="1:63" ht="13.9" customHeight="1" x14ac:dyDescent="0.25">
      <c r="A17" s="123" t="s">
        <v>400</v>
      </c>
      <c r="B17" s="231"/>
      <c r="C17" s="29"/>
      <c r="D17" s="123" t="s">
        <v>288</v>
      </c>
      <c r="E17" s="231"/>
      <c r="F17" s="29"/>
      <c r="G17" s="123" t="s">
        <v>304</v>
      </c>
      <c r="H17" s="231"/>
      <c r="I17" s="29"/>
      <c r="J17" s="123" t="s">
        <v>1198</v>
      </c>
      <c r="K17" s="231"/>
      <c r="L17" s="29"/>
      <c r="M17" s="125" t="s">
        <v>223</v>
      </c>
      <c r="N17" s="229"/>
      <c r="O17" s="29"/>
      <c r="P17" s="123" t="s">
        <v>244</v>
      </c>
      <c r="Q17" s="2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</row>
    <row r="18" spans="1:63" x14ac:dyDescent="0.25">
      <c r="A18" s="123" t="s">
        <v>388</v>
      </c>
      <c r="B18" s="231"/>
      <c r="C18" s="29"/>
      <c r="D18" s="123" t="s">
        <v>399</v>
      </c>
      <c r="E18" s="231"/>
      <c r="F18" s="29"/>
      <c r="G18" s="123" t="s">
        <v>1680</v>
      </c>
      <c r="H18" s="446"/>
      <c r="I18" s="29"/>
      <c r="J18" s="123" t="s">
        <v>1682</v>
      </c>
      <c r="K18" s="446"/>
      <c r="L18" s="29"/>
      <c r="M18" s="125" t="s">
        <v>332</v>
      </c>
      <c r="N18" s="229"/>
      <c r="O18" s="29"/>
      <c r="P18" s="123" t="s">
        <v>133</v>
      </c>
      <c r="Q18" s="2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</row>
    <row r="19" spans="1:63" x14ac:dyDescent="0.25">
      <c r="A19" s="123" t="s">
        <v>275</v>
      </c>
      <c r="B19" s="36"/>
      <c r="C19" s="29"/>
      <c r="D19" s="123" t="s">
        <v>401</v>
      </c>
      <c r="E19" s="231"/>
      <c r="F19" s="29"/>
      <c r="G19" s="123" t="s">
        <v>305</v>
      </c>
      <c r="H19" s="231"/>
      <c r="I19" s="29"/>
      <c r="J19" s="123" t="s">
        <v>313</v>
      </c>
      <c r="K19" s="231"/>
      <c r="L19" s="29"/>
      <c r="M19" s="125" t="s">
        <v>351</v>
      </c>
      <c r="N19" s="229"/>
      <c r="O19" s="29"/>
      <c r="P19" s="123" t="s">
        <v>416</v>
      </c>
      <c r="Q19" s="2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</row>
    <row r="20" spans="1:63" x14ac:dyDescent="0.25">
      <c r="A20" s="124" t="s">
        <v>532</v>
      </c>
      <c r="B20" s="231"/>
      <c r="C20" s="29"/>
      <c r="D20" s="123" t="s">
        <v>402</v>
      </c>
      <c r="E20" s="231"/>
      <c r="F20" s="29"/>
      <c r="G20" s="123" t="s">
        <v>1487</v>
      </c>
      <c r="H20" s="354"/>
      <c r="I20" s="29"/>
      <c r="J20" s="123" t="s">
        <v>314</v>
      </c>
      <c r="K20" s="231"/>
      <c r="L20" s="29"/>
      <c r="M20" s="125" t="s">
        <v>352</v>
      </c>
      <c r="N20" s="229"/>
      <c r="O20" s="29"/>
      <c r="P20" s="123" t="s">
        <v>372</v>
      </c>
      <c r="Q20" s="231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</row>
    <row r="21" spans="1:63" x14ac:dyDescent="0.25">
      <c r="A21" s="124" t="s">
        <v>276</v>
      </c>
      <c r="B21" s="231"/>
      <c r="C21" s="29"/>
      <c r="D21" s="123" t="s">
        <v>1678</v>
      </c>
      <c r="E21" s="436"/>
      <c r="F21" s="29"/>
      <c r="G21" s="123" t="s">
        <v>1486</v>
      </c>
      <c r="H21" s="354"/>
      <c r="I21" s="29"/>
      <c r="J21" s="123" t="s">
        <v>315</v>
      </c>
      <c r="K21" s="231"/>
      <c r="L21" s="29"/>
      <c r="M21" s="125" t="s">
        <v>353</v>
      </c>
      <c r="N21" s="229"/>
      <c r="O21" s="29"/>
      <c r="P21" s="123" t="s">
        <v>1692</v>
      </c>
      <c r="Q21" s="446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</row>
    <row r="22" spans="1:63" x14ac:dyDescent="0.25">
      <c r="A22" s="124" t="s">
        <v>278</v>
      </c>
      <c r="B22" s="231"/>
      <c r="C22" s="29"/>
      <c r="D22" s="123" t="s">
        <v>1503</v>
      </c>
      <c r="E22" s="359"/>
      <c r="F22" s="29"/>
      <c r="G22" s="123" t="s">
        <v>1485</v>
      </c>
      <c r="H22" s="354"/>
      <c r="I22" s="29"/>
      <c r="J22" s="123" t="s">
        <v>316</v>
      </c>
      <c r="K22" s="36"/>
      <c r="L22" s="29"/>
      <c r="M22" s="125" t="s">
        <v>354</v>
      </c>
      <c r="N22" s="229"/>
      <c r="O22" s="29"/>
      <c r="P22" s="123" t="s">
        <v>373</v>
      </c>
      <c r="Q22" s="231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</row>
    <row r="23" spans="1:63" x14ac:dyDescent="0.25">
      <c r="A23" s="124" t="s">
        <v>277</v>
      </c>
      <c r="B23" s="231"/>
      <c r="C23" s="29"/>
      <c r="D23" s="123" t="s">
        <v>289</v>
      </c>
      <c r="E23" s="231"/>
      <c r="F23" s="29"/>
      <c r="G23" s="123" t="s">
        <v>1484</v>
      </c>
      <c r="H23" s="354"/>
      <c r="I23" s="29"/>
      <c r="J23" s="125" t="s">
        <v>318</v>
      </c>
      <c r="K23" s="229"/>
      <c r="L23" s="29"/>
      <c r="M23" s="125" t="s">
        <v>355</v>
      </c>
      <c r="N23" s="229"/>
      <c r="O23" s="29"/>
      <c r="P23" s="123" t="s">
        <v>417</v>
      </c>
      <c r="Q23" s="231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</row>
    <row r="24" spans="1:63" x14ac:dyDescent="0.25">
      <c r="A24" s="124" t="s">
        <v>279</v>
      </c>
      <c r="B24" s="231"/>
      <c r="C24" s="29"/>
      <c r="D24" s="123" t="s">
        <v>290</v>
      </c>
      <c r="E24" s="231"/>
      <c r="F24" s="29"/>
      <c r="G24" s="123" t="s">
        <v>1483</v>
      </c>
      <c r="H24" s="354"/>
      <c r="I24" s="29"/>
      <c r="J24" s="125" t="s">
        <v>319</v>
      </c>
      <c r="K24" s="229"/>
      <c r="L24" s="29"/>
      <c r="M24" s="125" t="s">
        <v>356</v>
      </c>
      <c r="N24" s="231"/>
      <c r="O24" s="29"/>
      <c r="P24" s="123" t="s">
        <v>418</v>
      </c>
      <c r="Q24" s="231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</row>
    <row r="25" spans="1:63" x14ac:dyDescent="0.25">
      <c r="A25" s="124" t="s">
        <v>280</v>
      </c>
      <c r="B25" s="231"/>
      <c r="C25" s="29"/>
      <c r="D25" s="123" t="s">
        <v>404</v>
      </c>
      <c r="E25" s="231"/>
      <c r="F25" s="29"/>
      <c r="G25" s="123" t="s">
        <v>405</v>
      </c>
      <c r="H25" s="229"/>
      <c r="I25" s="29"/>
      <c r="J25" s="125" t="s">
        <v>330</v>
      </c>
      <c r="K25" s="229"/>
      <c r="L25" s="29"/>
      <c r="M25" s="125" t="s">
        <v>357</v>
      </c>
      <c r="N25" s="231"/>
      <c r="O25" s="29"/>
      <c r="P25" s="123" t="s">
        <v>1472</v>
      </c>
      <c r="Q25" s="354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</row>
    <row r="26" spans="1:63" x14ac:dyDescent="0.25">
      <c r="A26" s="124" t="s">
        <v>281</v>
      </c>
      <c r="B26" s="231"/>
      <c r="C26" s="29"/>
      <c r="D26" s="123" t="s">
        <v>1491</v>
      </c>
      <c r="E26" s="354"/>
      <c r="F26" s="29"/>
      <c r="G26" s="123" t="s">
        <v>1482</v>
      </c>
      <c r="H26" s="353"/>
      <c r="I26" s="29"/>
      <c r="J26" s="125" t="s">
        <v>329</v>
      </c>
      <c r="K26" s="229"/>
      <c r="L26" s="29"/>
      <c r="M26" s="125" t="s">
        <v>358</v>
      </c>
      <c r="N26" s="231"/>
      <c r="O26" s="29"/>
      <c r="P26" s="123" t="s">
        <v>1693</v>
      </c>
      <c r="Q26" s="446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</row>
    <row r="27" spans="1:63" x14ac:dyDescent="0.25">
      <c r="A27" s="123" t="s">
        <v>282</v>
      </c>
      <c r="B27" s="36"/>
      <c r="C27" s="29"/>
      <c r="D27" s="123" t="s">
        <v>291</v>
      </c>
      <c r="E27" s="231"/>
      <c r="F27" s="29"/>
      <c r="G27" s="123" t="s">
        <v>240</v>
      </c>
      <c r="H27" s="229"/>
      <c r="I27" s="29"/>
      <c r="J27" s="125" t="s">
        <v>328</v>
      </c>
      <c r="K27" s="229"/>
      <c r="L27" s="29"/>
      <c r="M27" s="125" t="s">
        <v>359</v>
      </c>
      <c r="N27" s="231"/>
      <c r="O27" s="29"/>
      <c r="P27" s="123" t="s">
        <v>374</v>
      </c>
      <c r="Q27" s="36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</row>
    <row r="28" spans="1:63" x14ac:dyDescent="0.25">
      <c r="A28" s="124" t="s">
        <v>283</v>
      </c>
      <c r="B28" s="231"/>
      <c r="C28" s="29"/>
      <c r="D28" s="123" t="s">
        <v>292</v>
      </c>
      <c r="E28" s="231"/>
      <c r="F28" s="29"/>
      <c r="G28" s="123" t="s">
        <v>306</v>
      </c>
      <c r="H28" s="231"/>
      <c r="I28" s="29"/>
      <c r="J28" s="125" t="s">
        <v>187</v>
      </c>
      <c r="K28" s="229"/>
      <c r="L28" s="29"/>
      <c r="M28" s="125" t="s">
        <v>333</v>
      </c>
      <c r="N28" s="231"/>
      <c r="O28" s="29"/>
      <c r="P28" s="124" t="s">
        <v>375</v>
      </c>
      <c r="Q28" s="231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</row>
    <row r="29" spans="1:63" x14ac:dyDescent="0.25">
      <c r="A29" s="124" t="s">
        <v>284</v>
      </c>
      <c r="B29" s="231"/>
      <c r="C29" s="29"/>
      <c r="D29" s="123" t="s">
        <v>1499</v>
      </c>
      <c r="E29" s="356"/>
      <c r="F29" s="29"/>
      <c r="G29" s="123" t="s">
        <v>406</v>
      </c>
      <c r="H29" s="231"/>
      <c r="I29" s="29"/>
      <c r="J29" s="125" t="s">
        <v>186</v>
      </c>
      <c r="K29" s="231"/>
      <c r="L29" s="29"/>
      <c r="M29" s="125" t="s">
        <v>334</v>
      </c>
      <c r="N29" s="231"/>
      <c r="O29" s="29"/>
      <c r="P29" s="124" t="s">
        <v>1569</v>
      </c>
      <c r="Q29" s="231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</row>
    <row r="30" spans="1:63" x14ac:dyDescent="0.25">
      <c r="A30" s="124" t="s">
        <v>285</v>
      </c>
      <c r="B30" s="231"/>
      <c r="C30" s="29"/>
      <c r="D30" s="123" t="s">
        <v>293</v>
      </c>
      <c r="E30" s="231"/>
      <c r="F30" s="29"/>
      <c r="G30" s="123" t="s">
        <v>307</v>
      </c>
      <c r="H30" s="231"/>
      <c r="I30" s="29"/>
      <c r="J30" s="125" t="s">
        <v>327</v>
      </c>
      <c r="K30" s="231"/>
      <c r="L30" s="29"/>
      <c r="M30" s="125" t="s">
        <v>360</v>
      </c>
      <c r="N30" s="231"/>
      <c r="O30" s="29"/>
      <c r="P30" s="124" t="s">
        <v>378</v>
      </c>
      <c r="Q30" s="231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</row>
    <row r="31" spans="1:63" x14ac:dyDescent="0.25">
      <c r="A31" s="123" t="s">
        <v>237</v>
      </c>
      <c r="B31" s="229"/>
      <c r="C31" s="29"/>
      <c r="D31" s="123" t="s">
        <v>294</v>
      </c>
      <c r="E31" s="231"/>
      <c r="F31" s="29"/>
      <c r="G31" s="123" t="s">
        <v>1478</v>
      </c>
      <c r="H31" s="354"/>
      <c r="I31" s="29"/>
      <c r="J31" s="125" t="s">
        <v>326</v>
      </c>
      <c r="K31" s="229"/>
      <c r="L31" s="29"/>
      <c r="M31" s="125" t="s">
        <v>361</v>
      </c>
      <c r="N31" s="231"/>
      <c r="O31" s="29"/>
      <c r="P31" s="124" t="s">
        <v>377</v>
      </c>
      <c r="Q31" s="231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</row>
    <row r="32" spans="1:63" x14ac:dyDescent="0.25">
      <c r="A32" s="123" t="s">
        <v>389</v>
      </c>
      <c r="B32" s="229"/>
      <c r="C32" s="29"/>
      <c r="D32" s="123" t="s">
        <v>295</v>
      </c>
      <c r="E32" s="231"/>
      <c r="F32" s="29"/>
      <c r="G32" s="123" t="s">
        <v>1479</v>
      </c>
      <c r="H32" s="354"/>
      <c r="I32" s="29"/>
      <c r="J32" s="125" t="s">
        <v>185</v>
      </c>
      <c r="K32" s="229"/>
      <c r="L32" s="29"/>
      <c r="M32" s="125" t="s">
        <v>362</v>
      </c>
      <c r="N32" s="229"/>
      <c r="O32" s="29"/>
      <c r="P32" s="124" t="s">
        <v>379</v>
      </c>
      <c r="Q32" s="231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</row>
    <row r="33" spans="1:41" x14ac:dyDescent="0.25">
      <c r="A33" s="123" t="s">
        <v>390</v>
      </c>
      <c r="B33" s="229"/>
      <c r="C33" s="29"/>
      <c r="D33" s="123" t="s">
        <v>1754</v>
      </c>
      <c r="E33" s="460"/>
      <c r="F33" s="29"/>
      <c r="G33" s="123" t="s">
        <v>1480</v>
      </c>
      <c r="H33" s="354"/>
      <c r="I33" s="29"/>
      <c r="J33" s="125" t="s">
        <v>325</v>
      </c>
      <c r="K33" s="229"/>
      <c r="L33" s="29"/>
      <c r="M33" s="125" t="s">
        <v>363</v>
      </c>
      <c r="N33" s="229"/>
      <c r="O33" s="29"/>
      <c r="P33" s="124" t="s">
        <v>1676</v>
      </c>
      <c r="Q33" s="230">
        <v>1</v>
      </c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</row>
    <row r="34" spans="1:41" x14ac:dyDescent="0.25">
      <c r="A34" s="123" t="s">
        <v>1683</v>
      </c>
      <c r="B34" s="436"/>
      <c r="C34" s="29"/>
      <c r="D34" s="123" t="s">
        <v>1196</v>
      </c>
      <c r="E34" s="286"/>
      <c r="F34" s="29"/>
      <c r="G34" s="123" t="s">
        <v>1481</v>
      </c>
      <c r="H34" s="354"/>
      <c r="I34" s="29"/>
      <c r="J34" s="125" t="s">
        <v>324</v>
      </c>
      <c r="K34" s="229"/>
      <c r="L34" s="29"/>
      <c r="M34" s="125" t="s">
        <v>364</v>
      </c>
      <c r="N34" s="229"/>
      <c r="O34" s="29"/>
      <c r="P34" s="126" t="s">
        <v>380</v>
      </c>
      <c r="Q34" s="36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</row>
    <row r="35" spans="1:41" x14ac:dyDescent="0.25">
      <c r="A35" s="123" t="s">
        <v>1684</v>
      </c>
      <c r="B35" s="436"/>
      <c r="C35" s="29"/>
      <c r="D35" s="123" t="s">
        <v>296</v>
      </c>
      <c r="E35" s="231"/>
      <c r="F35" s="29"/>
      <c r="G35" s="123" t="s">
        <v>241</v>
      </c>
      <c r="H35" s="229"/>
      <c r="I35" s="29"/>
      <c r="J35" s="125" t="s">
        <v>323</v>
      </c>
      <c r="K35" s="229"/>
      <c r="L35" s="29"/>
      <c r="M35" s="125" t="s">
        <v>365</v>
      </c>
      <c r="N35" s="229"/>
      <c r="O35" s="29"/>
      <c r="P35" s="124" t="s">
        <v>375</v>
      </c>
      <c r="Q35" s="231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</row>
    <row r="36" spans="1:41" x14ac:dyDescent="0.25">
      <c r="A36" s="123" t="s">
        <v>286</v>
      </c>
      <c r="B36" s="231"/>
      <c r="C36" s="29"/>
      <c r="D36" s="123" t="s">
        <v>160</v>
      </c>
      <c r="E36" s="229"/>
      <c r="F36" s="29"/>
      <c r="G36" s="123" t="s">
        <v>242</v>
      </c>
      <c r="H36" s="229"/>
      <c r="I36" s="29"/>
      <c r="J36" s="125" t="s">
        <v>184</v>
      </c>
      <c r="K36" s="229"/>
      <c r="L36" s="29"/>
      <c r="M36" s="125" t="s">
        <v>366</v>
      </c>
      <c r="N36" s="229"/>
      <c r="O36" s="29"/>
      <c r="P36" s="124" t="s">
        <v>376</v>
      </c>
      <c r="Q36" s="231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</row>
    <row r="37" spans="1:41" x14ac:dyDescent="0.25">
      <c r="A37" s="123" t="s">
        <v>1753</v>
      </c>
      <c r="B37" s="460"/>
      <c r="C37" s="29"/>
      <c r="D37" s="123" t="s">
        <v>1492</v>
      </c>
      <c r="E37" s="353"/>
      <c r="F37" s="29"/>
      <c r="G37" s="123" t="s">
        <v>1477</v>
      </c>
      <c r="H37" s="353"/>
      <c r="I37" s="29"/>
      <c r="J37" s="125" t="s">
        <v>267</v>
      </c>
      <c r="K37" s="229"/>
      <c r="L37" s="29"/>
      <c r="M37" s="125" t="s">
        <v>337</v>
      </c>
      <c r="N37" s="229"/>
      <c r="O37" s="29"/>
      <c r="P37" s="124" t="s">
        <v>378</v>
      </c>
      <c r="Q37" s="231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</row>
    <row r="38" spans="1:41" x14ac:dyDescent="0.25">
      <c r="A38" s="123" t="s">
        <v>1752</v>
      </c>
      <c r="B38" s="460"/>
      <c r="C38" s="29"/>
      <c r="D38" s="123" t="s">
        <v>1067</v>
      </c>
      <c r="E38" s="231"/>
      <c r="F38" s="29"/>
      <c r="G38" s="123" t="s">
        <v>1201</v>
      </c>
      <c r="H38" s="288"/>
      <c r="I38" s="29"/>
      <c r="J38" s="125" t="s">
        <v>322</v>
      </c>
      <c r="K38" s="229"/>
      <c r="L38" s="29"/>
      <c r="M38" s="125" t="s">
        <v>335</v>
      </c>
      <c r="N38" s="229"/>
      <c r="O38" s="29"/>
      <c r="P38" s="124" t="s">
        <v>377</v>
      </c>
      <c r="Q38" s="231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</row>
    <row r="39" spans="1:41" x14ac:dyDescent="0.25">
      <c r="A39" s="123" t="s">
        <v>394</v>
      </c>
      <c r="B39" s="231"/>
      <c r="C39" s="29"/>
      <c r="D39" s="123" t="s">
        <v>1490</v>
      </c>
      <c r="E39" s="354"/>
      <c r="F39" s="29"/>
      <c r="G39" s="123" t="s">
        <v>407</v>
      </c>
      <c r="H39" s="229"/>
      <c r="I39" s="29"/>
      <c r="J39" s="125" t="s">
        <v>321</v>
      </c>
      <c r="K39" s="229"/>
      <c r="L39" s="29"/>
      <c r="M39" s="125" t="s">
        <v>336</v>
      </c>
      <c r="N39" s="231"/>
      <c r="O39" s="29"/>
      <c r="P39" s="124" t="s">
        <v>379</v>
      </c>
      <c r="Q39" s="231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</row>
    <row r="40" spans="1:41" x14ac:dyDescent="0.25">
      <c r="A40" s="123" t="s">
        <v>395</v>
      </c>
      <c r="B40" s="231"/>
      <c r="C40" s="29"/>
      <c r="D40" s="123" t="s">
        <v>297</v>
      </c>
      <c r="E40" s="231"/>
      <c r="F40" s="29"/>
      <c r="G40" s="123" t="s">
        <v>408</v>
      </c>
      <c r="H40" s="231"/>
      <c r="I40" s="29"/>
      <c r="J40" s="125" t="s">
        <v>212</v>
      </c>
      <c r="K40" s="229"/>
      <c r="L40" s="29"/>
      <c r="M40" s="125" t="s">
        <v>339</v>
      </c>
      <c r="N40" s="231"/>
      <c r="O40" s="29"/>
      <c r="P40" s="124" t="s">
        <v>1676</v>
      </c>
      <c r="Q40" s="231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</row>
    <row r="41" spans="1:41" x14ac:dyDescent="0.25">
      <c r="A41" s="123" t="s">
        <v>1685</v>
      </c>
      <c r="B41" s="436"/>
      <c r="C41" s="29"/>
      <c r="D41" s="123" t="s">
        <v>1489</v>
      </c>
      <c r="E41" s="354"/>
      <c r="F41" s="29"/>
      <c r="G41" s="123" t="s">
        <v>1476</v>
      </c>
      <c r="H41" s="353"/>
      <c r="I41" s="29"/>
      <c r="J41" s="125" t="s">
        <v>320</v>
      </c>
      <c r="K41" s="229"/>
      <c r="L41" s="29"/>
      <c r="M41" s="125" t="s">
        <v>338</v>
      </c>
      <c r="N41" s="231"/>
      <c r="O41" s="29"/>
      <c r="P41" s="123" t="s">
        <v>419</v>
      </c>
      <c r="Q41" s="36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</row>
    <row r="42" spans="1:41" x14ac:dyDescent="0.25">
      <c r="A42" s="123" t="s">
        <v>1495</v>
      </c>
      <c r="B42" s="353"/>
      <c r="C42" s="29"/>
      <c r="D42" s="123" t="s">
        <v>298</v>
      </c>
      <c r="E42" s="231"/>
      <c r="F42" s="29"/>
      <c r="G42" s="123" t="s">
        <v>409</v>
      </c>
      <c r="H42" s="231"/>
      <c r="I42" s="29"/>
      <c r="J42" s="125" t="s">
        <v>317</v>
      </c>
      <c r="K42" s="229"/>
      <c r="L42" s="29"/>
      <c r="M42" s="125" t="s">
        <v>340</v>
      </c>
      <c r="N42" s="231"/>
      <c r="O42" s="29"/>
      <c r="P42" s="124" t="s">
        <v>375</v>
      </c>
      <c r="Q42" s="231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</row>
    <row r="43" spans="1:41" x14ac:dyDescent="0.25">
      <c r="A43" s="123" t="s">
        <v>1199</v>
      </c>
      <c r="B43" s="288"/>
      <c r="C43" s="29"/>
      <c r="D43" s="123" t="s">
        <v>1488</v>
      </c>
      <c r="E43" s="354"/>
      <c r="F43" s="29"/>
      <c r="G43" s="123" t="s">
        <v>1424</v>
      </c>
      <c r="H43" s="231"/>
      <c r="I43" s="29"/>
      <c r="J43" s="125" t="s">
        <v>367</v>
      </c>
      <c r="K43" s="229"/>
      <c r="L43" s="29"/>
      <c r="M43" s="125" t="s">
        <v>412</v>
      </c>
      <c r="N43" s="231"/>
      <c r="O43" s="29"/>
      <c r="P43" s="124" t="s">
        <v>376</v>
      </c>
      <c r="Q43" s="231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</row>
    <row r="44" spans="1:41" x14ac:dyDescent="0.25">
      <c r="A44" s="123" t="s">
        <v>1200</v>
      </c>
      <c r="B44" s="231"/>
      <c r="C44" s="29"/>
      <c r="D44" s="123" t="s">
        <v>1679</v>
      </c>
      <c r="E44" s="435"/>
      <c r="F44" s="29"/>
      <c r="G44" s="123" t="s">
        <v>410</v>
      </c>
      <c r="H44" s="231"/>
      <c r="I44" s="29"/>
      <c r="J44" s="125" t="s">
        <v>341</v>
      </c>
      <c r="K44" s="229"/>
      <c r="L44" s="29"/>
      <c r="M44" s="123" t="s">
        <v>1498</v>
      </c>
      <c r="N44" s="355"/>
      <c r="O44" s="29"/>
      <c r="P44" s="124" t="s">
        <v>378</v>
      </c>
      <c r="Q44" s="231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</row>
    <row r="45" spans="1:41" x14ac:dyDescent="0.25">
      <c r="A45" s="123" t="s">
        <v>1494</v>
      </c>
      <c r="B45" s="354"/>
      <c r="C45" s="29"/>
      <c r="D45" s="123" t="s">
        <v>299</v>
      </c>
      <c r="E45" s="231"/>
      <c r="F45" s="29"/>
      <c r="G45" s="123" t="s">
        <v>1475</v>
      </c>
      <c r="H45" s="354"/>
      <c r="I45" s="29"/>
      <c r="J45" s="125" t="s">
        <v>342</v>
      </c>
      <c r="K45" s="229"/>
      <c r="L45" s="29"/>
      <c r="M45" s="123" t="s">
        <v>1505</v>
      </c>
      <c r="N45" s="354"/>
      <c r="O45" s="29"/>
      <c r="P45" s="124" t="s">
        <v>377</v>
      </c>
      <c r="Q45" s="231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</row>
    <row r="46" spans="1:41" x14ac:dyDescent="0.25">
      <c r="A46" s="123" t="s">
        <v>287</v>
      </c>
      <c r="B46" s="231"/>
      <c r="C46" s="29"/>
      <c r="D46" s="124" t="s">
        <v>375</v>
      </c>
      <c r="E46" s="231"/>
      <c r="F46" s="29"/>
      <c r="G46" s="123" t="s">
        <v>1681</v>
      </c>
      <c r="H46" s="446"/>
      <c r="I46" s="29"/>
      <c r="J46" s="125" t="s">
        <v>343</v>
      </c>
      <c r="K46" s="231"/>
      <c r="L46" s="29"/>
      <c r="M46" s="123" t="s">
        <v>370</v>
      </c>
      <c r="N46" s="231"/>
      <c r="O46" s="29"/>
      <c r="P46" s="124" t="s">
        <v>379</v>
      </c>
      <c r="Q46" s="231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</row>
    <row r="47" spans="1:41" x14ac:dyDescent="0.25">
      <c r="A47" s="123" t="s">
        <v>391</v>
      </c>
      <c r="B47" s="231"/>
      <c r="C47" s="29"/>
      <c r="D47" s="124" t="s">
        <v>376</v>
      </c>
      <c r="E47" s="231"/>
      <c r="F47" s="29"/>
      <c r="G47" s="123" t="s">
        <v>308</v>
      </c>
      <c r="H47" s="231"/>
      <c r="I47" s="29"/>
      <c r="J47" s="125" t="s">
        <v>344</v>
      </c>
      <c r="K47" s="229"/>
      <c r="L47" s="29"/>
      <c r="M47" s="123" t="s">
        <v>1195</v>
      </c>
      <c r="N47" s="286"/>
      <c r="O47" s="29"/>
      <c r="P47" s="124" t="s">
        <v>1676</v>
      </c>
      <c r="Q47" s="231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</row>
    <row r="48" spans="1:41" x14ac:dyDescent="0.25">
      <c r="A48" s="123" t="s">
        <v>392</v>
      </c>
      <c r="B48" s="231"/>
      <c r="C48" s="29"/>
      <c r="D48" s="124" t="s">
        <v>378</v>
      </c>
      <c r="E48" s="231"/>
      <c r="F48" s="29"/>
      <c r="G48" s="123" t="s">
        <v>309</v>
      </c>
      <c r="H48" s="231"/>
      <c r="I48" s="29"/>
      <c r="J48" s="125" t="s">
        <v>345</v>
      </c>
      <c r="K48" s="229"/>
      <c r="L48" s="29"/>
      <c r="M48" s="123" t="s">
        <v>413</v>
      </c>
      <c r="N48" s="231"/>
      <c r="O48" s="29"/>
      <c r="P48" s="123" t="s">
        <v>1501</v>
      </c>
      <c r="Q48" s="357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</row>
    <row r="49" spans="1:41" x14ac:dyDescent="0.25">
      <c r="A49" s="123" t="s">
        <v>785</v>
      </c>
      <c r="B49" s="231"/>
      <c r="C49" s="29"/>
      <c r="D49" s="124" t="s">
        <v>377</v>
      </c>
      <c r="E49" s="231"/>
      <c r="F49" s="29"/>
      <c r="G49" s="123" t="s">
        <v>1202</v>
      </c>
      <c r="H49" s="289"/>
      <c r="I49" s="29"/>
      <c r="J49" s="125" t="s">
        <v>346</v>
      </c>
      <c r="K49" s="229"/>
      <c r="L49" s="29"/>
      <c r="M49" s="123" t="s">
        <v>1473</v>
      </c>
      <c r="N49" s="354"/>
      <c r="O49" s="29"/>
      <c r="P49" s="123" t="s">
        <v>1500</v>
      </c>
      <c r="Q49" s="2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</row>
    <row r="50" spans="1:41" x14ac:dyDescent="0.25">
      <c r="A50" s="123" t="s">
        <v>393</v>
      </c>
      <c r="B50" s="231"/>
      <c r="C50" s="29"/>
      <c r="D50" s="124" t="s">
        <v>379</v>
      </c>
      <c r="E50" s="231"/>
      <c r="F50" s="29"/>
      <c r="G50" s="123" t="s">
        <v>1504</v>
      </c>
      <c r="H50" s="354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</row>
    <row r="51" spans="1:41" x14ac:dyDescent="0.25">
      <c r="A51" s="123" t="s">
        <v>396</v>
      </c>
      <c r="B51" s="231"/>
      <c r="C51" s="29"/>
      <c r="D51" s="124" t="s">
        <v>1676</v>
      </c>
      <c r="E51" s="231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</row>
    <row r="52" spans="1:41" x14ac:dyDescent="0.25">
      <c r="A52" s="123" t="s">
        <v>397</v>
      </c>
      <c r="B52" s="231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</row>
    <row r="53" spans="1:4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</row>
    <row r="54" spans="1:4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</row>
    <row r="55" spans="1:4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</row>
    <row r="56" spans="1:4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</row>
    <row r="57" spans="1:4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</row>
    <row r="58" spans="1:41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</row>
    <row r="59" spans="1:4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</row>
    <row r="60" spans="1:4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</row>
    <row r="61" spans="1:41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</row>
    <row r="62" spans="1:41" ht="15" customHeight="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</row>
    <row r="63" spans="1:41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</row>
    <row r="64" spans="1:4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</row>
    <row r="65" spans="1:41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</row>
    <row r="66" spans="1:41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</row>
    <row r="67" spans="1:41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</row>
    <row r="68" spans="1:4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</row>
    <row r="69" spans="1:4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</row>
    <row r="70" spans="1:4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</row>
    <row r="71" spans="1:41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</row>
    <row r="72" spans="1:41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</row>
    <row r="73" spans="1:41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</row>
    <row r="74" spans="1:41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</row>
    <row r="75" spans="1:41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</row>
    <row r="76" spans="1:41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</row>
    <row r="77" spans="1:41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</row>
    <row r="78" spans="1:41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</row>
    <row r="79" spans="1:41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1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1:41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1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</row>
    <row r="83" spans="1:41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</row>
    <row r="84" spans="1:41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</row>
    <row r="85" spans="1:41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</row>
    <row r="86" spans="1:41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</row>
    <row r="87" spans="1:41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</row>
    <row r="88" spans="1:41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</row>
    <row r="89" spans="1:41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</row>
    <row r="90" spans="1:41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</row>
    <row r="91" spans="1:41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</row>
    <row r="92" spans="1:41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</row>
    <row r="93" spans="1:41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</row>
    <row r="94" spans="1:41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</row>
    <row r="95" spans="1:41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</row>
    <row r="96" spans="1:41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</row>
    <row r="97" spans="1:41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</row>
    <row r="98" spans="1:41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</row>
    <row r="99" spans="1:41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</row>
    <row r="100" spans="1:41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</row>
    <row r="101" spans="1:41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</row>
    <row r="102" spans="1:41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</row>
    <row r="103" spans="1:41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</row>
    <row r="104" spans="1:41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</row>
    <row r="105" spans="1:41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</row>
    <row r="106" spans="1:41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</row>
    <row r="107" spans="1:41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</row>
    <row r="108" spans="1:41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</row>
    <row r="109" spans="1:41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</row>
    <row r="110" spans="1:41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</row>
    <row r="111" spans="1:41" x14ac:dyDescent="0.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</row>
    <row r="112" spans="1:41" x14ac:dyDescent="0.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</row>
    <row r="113" spans="1:41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</row>
    <row r="114" spans="1:41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</row>
    <row r="115" spans="1:41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</row>
    <row r="116" spans="1:41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</row>
    <row r="117" spans="1:41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</row>
    <row r="118" spans="1:41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</row>
    <row r="119" spans="1:41" x14ac:dyDescent="0.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</row>
    <row r="120" spans="1:41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</row>
    <row r="121" spans="1:41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</row>
    <row r="122" spans="1:41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</row>
    <row r="123" spans="1:41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</row>
    <row r="124" spans="1:41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</row>
    <row r="125" spans="1:41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</row>
    <row r="126" spans="1:41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</row>
    <row r="127" spans="1:41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</row>
    <row r="128" spans="1:41" x14ac:dyDescent="0.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</row>
    <row r="129" spans="1:41" x14ac:dyDescent="0.2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</row>
    <row r="130" spans="1:41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</row>
    <row r="131" spans="1:41" x14ac:dyDescent="0.2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</row>
    <row r="132" spans="1:41" x14ac:dyDescent="0.2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</row>
    <row r="133" spans="1:41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</row>
    <row r="134" spans="1:41" x14ac:dyDescent="0.2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</row>
    <row r="135" spans="1:41" x14ac:dyDescent="0.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</row>
    <row r="136" spans="1:41" x14ac:dyDescent="0.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</row>
    <row r="137" spans="1:41" x14ac:dyDescent="0.2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</row>
    <row r="138" spans="1:41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</row>
    <row r="139" spans="1:41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</row>
    <row r="140" spans="1:41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</row>
    <row r="141" spans="1:41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</row>
    <row r="142" spans="1:41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</row>
    <row r="143" spans="1:41" x14ac:dyDescent="0.2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</row>
    <row r="144" spans="1:41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</row>
    <row r="145" spans="3:41" x14ac:dyDescent="0.25">
      <c r="C145" s="29"/>
      <c r="F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</row>
    <row r="146" spans="3:41" x14ac:dyDescent="0.25">
      <c r="C146" s="29"/>
      <c r="F146" s="29"/>
    </row>
    <row r="210" spans="4:4" x14ac:dyDescent="0.25">
      <c r="D210" s="29">
        <v>201</v>
      </c>
    </row>
    <row r="211" spans="4:4" x14ac:dyDescent="0.25">
      <c r="D211" s="29">
        <v>202</v>
      </c>
    </row>
    <row r="212" spans="4:4" x14ac:dyDescent="0.25">
      <c r="D212" s="29">
        <v>203</v>
      </c>
    </row>
    <row r="213" spans="4:4" x14ac:dyDescent="0.25">
      <c r="D213" s="29">
        <v>204</v>
      </c>
    </row>
    <row r="214" spans="4:4" x14ac:dyDescent="0.25">
      <c r="D214" s="29">
        <v>205</v>
      </c>
    </row>
    <row r="215" spans="4:4" x14ac:dyDescent="0.25">
      <c r="D215" s="29">
        <v>206</v>
      </c>
    </row>
    <row r="216" spans="4:4" x14ac:dyDescent="0.25">
      <c r="D216" s="29">
        <v>207</v>
      </c>
    </row>
    <row r="217" spans="4:4" x14ac:dyDescent="0.25">
      <c r="D217" s="29">
        <v>208</v>
      </c>
    </row>
    <row r="218" spans="4:4" x14ac:dyDescent="0.25">
      <c r="D218" s="29">
        <v>209</v>
      </c>
    </row>
    <row r="219" spans="4:4" x14ac:dyDescent="0.25">
      <c r="D219" s="29">
        <v>210</v>
      </c>
    </row>
    <row r="220" spans="4:4" x14ac:dyDescent="0.25">
      <c r="D220" s="29">
        <v>211</v>
      </c>
    </row>
    <row r="221" spans="4:4" x14ac:dyDescent="0.25">
      <c r="D221" s="29">
        <v>212</v>
      </c>
    </row>
    <row r="222" spans="4:4" x14ac:dyDescent="0.25">
      <c r="D222" s="29">
        <v>213</v>
      </c>
    </row>
    <row r="223" spans="4:4" x14ac:dyDescent="0.25">
      <c r="D223" s="29">
        <v>214</v>
      </c>
    </row>
    <row r="224" spans="4:4" x14ac:dyDescent="0.25">
      <c r="D224" s="29">
        <v>215</v>
      </c>
    </row>
    <row r="225" spans="4:4" x14ac:dyDescent="0.25">
      <c r="D225" s="29">
        <v>216</v>
      </c>
    </row>
    <row r="226" spans="4:4" x14ac:dyDescent="0.25">
      <c r="D226" s="29">
        <v>217</v>
      </c>
    </row>
    <row r="227" spans="4:4" x14ac:dyDescent="0.25">
      <c r="D227" s="29">
        <v>218</v>
      </c>
    </row>
    <row r="228" spans="4:4" x14ac:dyDescent="0.25">
      <c r="D228" s="29">
        <v>219</v>
      </c>
    </row>
    <row r="229" spans="4:4" x14ac:dyDescent="0.25">
      <c r="D229" s="29">
        <v>220</v>
      </c>
    </row>
    <row r="230" spans="4:4" x14ac:dyDescent="0.25">
      <c r="D230" s="29">
        <v>221</v>
      </c>
    </row>
    <row r="231" spans="4:4" x14ac:dyDescent="0.25">
      <c r="D231" s="29">
        <v>222</v>
      </c>
    </row>
    <row r="232" spans="4:4" x14ac:dyDescent="0.25">
      <c r="D232" s="29">
        <v>223</v>
      </c>
    </row>
    <row r="233" spans="4:4" x14ac:dyDescent="0.25">
      <c r="D233" s="29">
        <v>224</v>
      </c>
    </row>
    <row r="234" spans="4:4" x14ac:dyDescent="0.25">
      <c r="D234" s="29">
        <v>225</v>
      </c>
    </row>
    <row r="235" spans="4:4" x14ac:dyDescent="0.25">
      <c r="D235" s="29">
        <v>226</v>
      </c>
    </row>
    <row r="236" spans="4:4" x14ac:dyDescent="0.25">
      <c r="D236" s="29">
        <v>227</v>
      </c>
    </row>
    <row r="237" spans="4:4" x14ac:dyDescent="0.25">
      <c r="D237" s="29">
        <v>228</v>
      </c>
    </row>
    <row r="238" spans="4:4" x14ac:dyDescent="0.25">
      <c r="D238" s="29">
        <v>229</v>
      </c>
    </row>
    <row r="239" spans="4:4" x14ac:dyDescent="0.25">
      <c r="D239" s="29">
        <v>230</v>
      </c>
    </row>
    <row r="240" spans="4:4" x14ac:dyDescent="0.25">
      <c r="D240" s="29">
        <v>231</v>
      </c>
    </row>
    <row r="241" spans="4:4" x14ac:dyDescent="0.25">
      <c r="D241" s="29">
        <v>232</v>
      </c>
    </row>
    <row r="242" spans="4:4" x14ac:dyDescent="0.25">
      <c r="D242" s="29">
        <v>233</v>
      </c>
    </row>
    <row r="243" spans="4:4" x14ac:dyDescent="0.25">
      <c r="D243" s="29">
        <v>234</v>
      </c>
    </row>
    <row r="244" spans="4:4" x14ac:dyDescent="0.25">
      <c r="D244" s="29">
        <v>235</v>
      </c>
    </row>
    <row r="245" spans="4:4" x14ac:dyDescent="0.25">
      <c r="D245" s="29">
        <v>236</v>
      </c>
    </row>
    <row r="246" spans="4:4" x14ac:dyDescent="0.25">
      <c r="D246" s="29">
        <v>237</v>
      </c>
    </row>
    <row r="247" spans="4:4" x14ac:dyDescent="0.25">
      <c r="D247" s="29">
        <v>238</v>
      </c>
    </row>
    <row r="248" spans="4:4" x14ac:dyDescent="0.25">
      <c r="D248" s="29">
        <v>239</v>
      </c>
    </row>
    <row r="249" spans="4:4" x14ac:dyDescent="0.25">
      <c r="D249" s="29">
        <v>240</v>
      </c>
    </row>
    <row r="250" spans="4:4" x14ac:dyDescent="0.25">
      <c r="D250" s="29">
        <v>241</v>
      </c>
    </row>
  </sheetData>
  <mergeCells count="20">
    <mergeCell ref="A8:R9"/>
    <mergeCell ref="A1:R1"/>
    <mergeCell ref="A2:C3"/>
    <mergeCell ref="A4:C5"/>
    <mergeCell ref="A6:C7"/>
    <mergeCell ref="D2:F3"/>
    <mergeCell ref="D4:F5"/>
    <mergeCell ref="D6:F7"/>
    <mergeCell ref="G2:I3"/>
    <mergeCell ref="G4:I5"/>
    <mergeCell ref="G6:I7"/>
    <mergeCell ref="J2:L3"/>
    <mergeCell ref="J4:L5"/>
    <mergeCell ref="J6:L7"/>
    <mergeCell ref="M2:O3"/>
    <mergeCell ref="P2:R3"/>
    <mergeCell ref="M4:O5"/>
    <mergeCell ref="M6:O7"/>
    <mergeCell ref="P4:R5"/>
    <mergeCell ref="P6:R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117"/>
  <sheetViews>
    <sheetView workbookViewId="0">
      <selection activeCell="C9" sqref="C9"/>
    </sheetView>
  </sheetViews>
  <sheetFormatPr defaultRowHeight="15" x14ac:dyDescent="0.25"/>
  <cols>
    <col min="1" max="1" width="19.85546875" customWidth="1"/>
    <col min="2" max="2" width="11.28515625" customWidth="1"/>
    <col min="3" max="3" width="14.28515625" customWidth="1"/>
    <col min="4" max="5" width="12.140625" customWidth="1"/>
    <col min="7" max="7" width="11.5703125" customWidth="1"/>
    <col min="8" max="8" width="14.5703125" customWidth="1"/>
  </cols>
  <sheetData>
    <row r="1" spans="1:42" ht="15" customHeight="1" x14ac:dyDescent="0.25">
      <c r="A1" s="679" t="s">
        <v>48</v>
      </c>
      <c r="B1" s="679" t="s">
        <v>49</v>
      </c>
      <c r="C1" s="679" t="s">
        <v>50</v>
      </c>
      <c r="D1" s="681"/>
      <c r="E1" s="679" t="s">
        <v>51</v>
      </c>
      <c r="F1" s="24"/>
      <c r="G1" s="683" t="s">
        <v>90</v>
      </c>
      <c r="H1" s="683"/>
      <c r="I1" s="683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</row>
    <row r="2" spans="1:42" ht="15" customHeight="1" x14ac:dyDescent="0.25">
      <c r="A2" s="680"/>
      <c r="B2" s="680"/>
      <c r="C2" s="680"/>
      <c r="D2" s="682"/>
      <c r="E2" s="680"/>
      <c r="F2" s="24"/>
      <c r="G2" s="679"/>
      <c r="H2" s="679"/>
      <c r="I2" s="679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</row>
    <row r="3" spans="1:42" x14ac:dyDescent="0.25">
      <c r="A3" s="12" t="s">
        <v>52</v>
      </c>
      <c r="B3" s="21" t="s">
        <v>53</v>
      </c>
      <c r="C3" s="53">
        <f>General!Y50</f>
        <v>0</v>
      </c>
      <c r="D3" s="21" t="s">
        <v>6</v>
      </c>
      <c r="E3" s="13">
        <f>C3</f>
        <v>0</v>
      </c>
      <c r="F3" s="24"/>
      <c r="G3" s="667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668"/>
      <c r="W3" s="668"/>
      <c r="X3" s="668"/>
      <c r="Y3" s="669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</row>
    <row r="4" spans="1:42" x14ac:dyDescent="0.25">
      <c r="A4" s="12" t="s">
        <v>54</v>
      </c>
      <c r="B4" s="21" t="s">
        <v>53</v>
      </c>
      <c r="C4" s="53">
        <f>General!Y62</f>
        <v>0</v>
      </c>
      <c r="D4" s="21" t="s">
        <v>6</v>
      </c>
      <c r="E4" s="13">
        <f t="shared" ref="E4:E10" si="0">C4</f>
        <v>0</v>
      </c>
      <c r="F4" s="24"/>
      <c r="G4" s="667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68"/>
      <c r="V4" s="668"/>
      <c r="W4" s="668"/>
      <c r="X4" s="668"/>
      <c r="Y4" s="669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</row>
    <row r="5" spans="1:42" x14ac:dyDescent="0.25">
      <c r="A5" s="12" t="s">
        <v>55</v>
      </c>
      <c r="B5" s="21" t="s">
        <v>53</v>
      </c>
      <c r="C5" s="53">
        <f>General!Y74</f>
        <v>0</v>
      </c>
      <c r="D5" s="21" t="s">
        <v>6</v>
      </c>
      <c r="E5" s="13">
        <f t="shared" si="0"/>
        <v>0</v>
      </c>
      <c r="F5" s="24"/>
      <c r="G5" s="667"/>
      <c r="H5" s="668"/>
      <c r="I5" s="668"/>
      <c r="J5" s="668"/>
      <c r="K5" s="668"/>
      <c r="L5" s="668"/>
      <c r="M5" s="668"/>
      <c r="N5" s="668"/>
      <c r="O5" s="668"/>
      <c r="P5" s="668"/>
      <c r="Q5" s="668"/>
      <c r="R5" s="668"/>
      <c r="S5" s="668"/>
      <c r="T5" s="668"/>
      <c r="U5" s="668"/>
      <c r="V5" s="668"/>
      <c r="W5" s="668"/>
      <c r="X5" s="668"/>
      <c r="Y5" s="669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</row>
    <row r="6" spans="1:42" x14ac:dyDescent="0.25">
      <c r="A6" s="12" t="s">
        <v>758</v>
      </c>
      <c r="B6" s="21" t="s">
        <v>53</v>
      </c>
      <c r="C6" s="53">
        <f>General!Y86</f>
        <v>0</v>
      </c>
      <c r="D6" s="21" t="s">
        <v>6</v>
      </c>
      <c r="E6" s="13">
        <f t="shared" si="0"/>
        <v>0</v>
      </c>
      <c r="F6" s="24"/>
      <c r="G6" s="667"/>
      <c r="H6" s="668"/>
      <c r="I6" s="668"/>
      <c r="J6" s="668"/>
      <c r="K6" s="668"/>
      <c r="L6" s="668"/>
      <c r="M6" s="668"/>
      <c r="N6" s="668"/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9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</row>
    <row r="7" spans="1:42" x14ac:dyDescent="0.25">
      <c r="A7" s="12" t="s">
        <v>759</v>
      </c>
      <c r="B7" s="21" t="s">
        <v>53</v>
      </c>
      <c r="C7" s="214">
        <f>General!Y98</f>
        <v>0</v>
      </c>
      <c r="D7" s="21" t="s">
        <v>6</v>
      </c>
      <c r="E7" s="13">
        <f t="shared" si="0"/>
        <v>0</v>
      </c>
      <c r="F7" s="24"/>
      <c r="G7" s="667"/>
      <c r="H7" s="668"/>
      <c r="I7" s="668"/>
      <c r="J7" s="668"/>
      <c r="K7" s="668"/>
      <c r="L7" s="668"/>
      <c r="M7" s="668"/>
      <c r="N7" s="668"/>
      <c r="O7" s="668"/>
      <c r="P7" s="668"/>
      <c r="Q7" s="668"/>
      <c r="R7" s="668"/>
      <c r="S7" s="668"/>
      <c r="T7" s="668"/>
      <c r="U7" s="668"/>
      <c r="V7" s="668"/>
      <c r="W7" s="668"/>
      <c r="X7" s="668"/>
      <c r="Y7" s="669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</row>
    <row r="8" spans="1:42" x14ac:dyDescent="0.25">
      <c r="A8" s="12" t="s">
        <v>760</v>
      </c>
      <c r="B8" s="21" t="s">
        <v>53</v>
      </c>
      <c r="C8" s="214">
        <f>General!W111</f>
        <v>0</v>
      </c>
      <c r="D8" s="21" t="s">
        <v>6</v>
      </c>
      <c r="E8" s="13">
        <f t="shared" si="0"/>
        <v>0</v>
      </c>
      <c r="F8" s="24"/>
      <c r="G8" s="667"/>
      <c r="H8" s="668"/>
      <c r="I8" s="668"/>
      <c r="J8" s="668"/>
      <c r="K8" s="668"/>
      <c r="L8" s="668"/>
      <c r="M8" s="668"/>
      <c r="N8" s="668"/>
      <c r="O8" s="668"/>
      <c r="P8" s="668"/>
      <c r="Q8" s="668"/>
      <c r="R8" s="668"/>
      <c r="S8" s="668"/>
      <c r="T8" s="668"/>
      <c r="U8" s="668"/>
      <c r="V8" s="668"/>
      <c r="W8" s="668"/>
      <c r="X8" s="668"/>
      <c r="Y8" s="669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</row>
    <row r="9" spans="1:42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</row>
    <row r="10" spans="1:42" x14ac:dyDescent="0.25">
      <c r="A10" s="12" t="s">
        <v>761</v>
      </c>
      <c r="B10" s="21" t="s">
        <v>53</v>
      </c>
      <c r="C10" s="214">
        <f>General!AF33</f>
        <v>0</v>
      </c>
      <c r="D10" s="21" t="s">
        <v>6</v>
      </c>
      <c r="E10" s="13">
        <f t="shared" si="0"/>
        <v>0</v>
      </c>
      <c r="F10" s="24"/>
      <c r="G10" s="667"/>
      <c r="H10" s="668"/>
      <c r="I10" s="668"/>
      <c r="J10" s="668"/>
      <c r="K10" s="668"/>
      <c r="L10" s="668"/>
      <c r="M10" s="668"/>
      <c r="N10" s="668"/>
      <c r="O10" s="668"/>
      <c r="P10" s="668"/>
      <c r="Q10" s="668"/>
      <c r="R10" s="668"/>
      <c r="S10" s="668"/>
      <c r="T10" s="668"/>
      <c r="U10" s="668"/>
      <c r="V10" s="668"/>
      <c r="W10" s="668"/>
      <c r="X10" s="668"/>
      <c r="Y10" s="669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</row>
    <row r="11" spans="1:42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</row>
    <row r="12" spans="1:42" x14ac:dyDescent="0.25">
      <c r="A12" s="12" t="s">
        <v>768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</row>
    <row r="13" spans="1:42" x14ac:dyDescent="0.25">
      <c r="A13" s="219"/>
      <c r="B13" s="219"/>
      <c r="C13" s="219"/>
      <c r="D13" s="21" t="s">
        <v>6</v>
      </c>
      <c r="E13" s="13">
        <f>C13*B13</f>
        <v>0</v>
      </c>
      <c r="F13" s="24"/>
      <c r="G13" s="67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8"/>
      <c r="T13" s="668"/>
      <c r="U13" s="668"/>
      <c r="V13" s="668"/>
      <c r="W13" s="668"/>
      <c r="X13" s="668"/>
      <c r="Y13" s="669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</row>
    <row r="14" spans="1:42" x14ac:dyDescent="0.25">
      <c r="A14" s="219"/>
      <c r="B14" s="219"/>
      <c r="C14" s="219"/>
      <c r="D14" s="21" t="s">
        <v>6</v>
      </c>
      <c r="E14" s="13">
        <f t="shared" ref="E14:E29" si="1">C14*B14</f>
        <v>0</v>
      </c>
      <c r="F14" s="24"/>
      <c r="G14" s="667"/>
      <c r="H14" s="668"/>
      <c r="I14" s="668"/>
      <c r="J14" s="668"/>
      <c r="K14" s="668"/>
      <c r="L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9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</row>
    <row r="15" spans="1:42" x14ac:dyDescent="0.25">
      <c r="A15" s="219"/>
      <c r="B15" s="219"/>
      <c r="C15" s="219"/>
      <c r="D15" s="21" t="s">
        <v>6</v>
      </c>
      <c r="E15" s="13">
        <f t="shared" si="1"/>
        <v>0</v>
      </c>
      <c r="F15" s="24"/>
      <c r="G15" s="667"/>
      <c r="H15" s="668"/>
      <c r="I15" s="668"/>
      <c r="J15" s="668"/>
      <c r="K15" s="668"/>
      <c r="L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9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</row>
    <row r="16" spans="1:42" x14ac:dyDescent="0.25">
      <c r="A16" s="219"/>
      <c r="B16" s="219"/>
      <c r="C16" s="219"/>
      <c r="D16" s="21" t="s">
        <v>6</v>
      </c>
      <c r="E16" s="13">
        <f t="shared" si="1"/>
        <v>0</v>
      </c>
      <c r="F16" s="24"/>
      <c r="G16" s="667"/>
      <c r="H16" s="668"/>
      <c r="I16" s="668"/>
      <c r="J16" s="668"/>
      <c r="K16" s="668"/>
      <c r="L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9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</row>
    <row r="17" spans="1:42" x14ac:dyDescent="0.25">
      <c r="A17" s="352"/>
      <c r="B17" s="219"/>
      <c r="C17" s="219"/>
      <c r="D17" s="21" t="s">
        <v>6</v>
      </c>
      <c r="E17" s="13">
        <f t="shared" si="1"/>
        <v>0</v>
      </c>
      <c r="F17" s="24"/>
      <c r="G17" s="667"/>
      <c r="H17" s="668"/>
      <c r="I17" s="668"/>
      <c r="J17" s="668"/>
      <c r="K17" s="668"/>
      <c r="L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9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</row>
    <row r="18" spans="1:42" x14ac:dyDescent="0.25">
      <c r="A18" s="351"/>
      <c r="B18" s="219"/>
      <c r="C18" s="219"/>
      <c r="D18" s="21" t="s">
        <v>6</v>
      </c>
      <c r="E18" s="13">
        <f t="shared" si="1"/>
        <v>0</v>
      </c>
      <c r="F18" s="24"/>
      <c r="G18" s="667"/>
      <c r="H18" s="668"/>
      <c r="I18" s="668"/>
      <c r="J18" s="668"/>
      <c r="K18" s="668"/>
      <c r="L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9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</row>
    <row r="19" spans="1:42" x14ac:dyDescent="0.25">
      <c r="A19" s="351"/>
      <c r="B19" s="219"/>
      <c r="C19" s="219"/>
      <c r="D19" s="21" t="s">
        <v>6</v>
      </c>
      <c r="E19" s="13">
        <f t="shared" si="1"/>
        <v>0</v>
      </c>
      <c r="F19" s="24"/>
      <c r="G19" s="667"/>
      <c r="H19" s="668"/>
      <c r="I19" s="668"/>
      <c r="J19" s="668"/>
      <c r="K19" s="668"/>
      <c r="L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9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</row>
    <row r="20" spans="1:42" x14ac:dyDescent="0.25">
      <c r="A20" s="219"/>
      <c r="B20" s="219"/>
      <c r="C20" s="219"/>
      <c r="D20" s="21" t="s">
        <v>6</v>
      </c>
      <c r="E20" s="13">
        <f t="shared" si="1"/>
        <v>0</v>
      </c>
      <c r="F20" s="24"/>
      <c r="G20" s="667"/>
      <c r="H20" s="668"/>
      <c r="I20" s="668"/>
      <c r="J20" s="668"/>
      <c r="K20" s="668"/>
      <c r="L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9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</row>
    <row r="21" spans="1:42" x14ac:dyDescent="0.25">
      <c r="A21" s="219"/>
      <c r="B21" s="219"/>
      <c r="C21" s="219"/>
      <c r="D21" s="21" t="s">
        <v>6</v>
      </c>
      <c r="E21" s="13">
        <f t="shared" si="1"/>
        <v>0</v>
      </c>
      <c r="F21" s="24"/>
      <c r="G21" s="667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9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</row>
    <row r="22" spans="1:42" x14ac:dyDescent="0.25">
      <c r="A22" s="219"/>
      <c r="B22" s="219"/>
      <c r="C22" s="219"/>
      <c r="D22" s="21" t="s">
        <v>6</v>
      </c>
      <c r="E22" s="13">
        <f t="shared" si="1"/>
        <v>0</v>
      </c>
      <c r="F22" s="24"/>
      <c r="G22" s="667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9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</row>
    <row r="23" spans="1:42" x14ac:dyDescent="0.25">
      <c r="A23" s="219"/>
      <c r="B23" s="219"/>
      <c r="C23" s="219"/>
      <c r="D23" s="21" t="s">
        <v>6</v>
      </c>
      <c r="E23" s="13">
        <f t="shared" si="1"/>
        <v>0</v>
      </c>
      <c r="F23" s="24"/>
      <c r="G23" s="667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9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</row>
    <row r="24" spans="1:42" x14ac:dyDescent="0.25">
      <c r="A24" s="219"/>
      <c r="B24" s="219"/>
      <c r="C24" s="219"/>
      <c r="D24" s="21" t="s">
        <v>6</v>
      </c>
      <c r="E24" s="13">
        <f t="shared" si="1"/>
        <v>0</v>
      </c>
      <c r="F24" s="24"/>
      <c r="G24" s="667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9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</row>
    <row r="25" spans="1:42" x14ac:dyDescent="0.25">
      <c r="A25" s="219"/>
      <c r="B25" s="219"/>
      <c r="C25" s="219"/>
      <c r="D25" s="21" t="s">
        <v>6</v>
      </c>
      <c r="E25" s="13">
        <f t="shared" si="1"/>
        <v>0</v>
      </c>
      <c r="F25" s="24"/>
      <c r="G25" s="667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9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</row>
    <row r="26" spans="1:42" x14ac:dyDescent="0.25">
      <c r="A26" s="219"/>
      <c r="B26" s="219"/>
      <c r="C26" s="219"/>
      <c r="D26" s="21" t="s">
        <v>6</v>
      </c>
      <c r="E26" s="13">
        <f t="shared" si="1"/>
        <v>0</v>
      </c>
      <c r="F26" s="24"/>
      <c r="G26" s="667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9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</row>
    <row r="27" spans="1:42" x14ac:dyDescent="0.25">
      <c r="A27" s="219"/>
      <c r="B27" s="219"/>
      <c r="C27" s="219"/>
      <c r="D27" s="21" t="s">
        <v>6</v>
      </c>
      <c r="E27" s="13">
        <f t="shared" si="1"/>
        <v>0</v>
      </c>
      <c r="F27" s="24"/>
      <c r="G27" s="667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9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</row>
    <row r="28" spans="1:42" x14ac:dyDescent="0.25">
      <c r="A28" s="219"/>
      <c r="B28" s="219"/>
      <c r="C28" s="219"/>
      <c r="D28" s="21" t="s">
        <v>6</v>
      </c>
      <c r="E28" s="13">
        <f t="shared" si="1"/>
        <v>0</v>
      </c>
      <c r="F28" s="24"/>
      <c r="G28" s="667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9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</row>
    <row r="29" spans="1:42" x14ac:dyDescent="0.25">
      <c r="A29" s="219"/>
      <c r="B29" s="219"/>
      <c r="C29" s="219"/>
      <c r="D29" s="21" t="s">
        <v>6</v>
      </c>
      <c r="E29" s="13">
        <f t="shared" si="1"/>
        <v>0</v>
      </c>
      <c r="F29" s="24"/>
      <c r="G29" s="667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9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</row>
    <row r="30" spans="1:42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</row>
    <row r="31" spans="1:42" ht="15.75" x14ac:dyDescent="0.25">
      <c r="A31" s="12" t="s">
        <v>56</v>
      </c>
      <c r="B31" s="14">
        <f>SUM(E3:E29)</f>
        <v>0</v>
      </c>
      <c r="C31" s="25"/>
      <c r="D31" s="23"/>
      <c r="E31" s="22"/>
      <c r="F31" s="24"/>
      <c r="G31" s="12" t="s">
        <v>769</v>
      </c>
      <c r="H31" s="227"/>
      <c r="I31" s="24"/>
      <c r="J31" s="497" t="s">
        <v>1436</v>
      </c>
      <c r="K31" s="497"/>
      <c r="L31" s="497"/>
      <c r="M31" s="497"/>
      <c r="N31" s="497"/>
      <c r="O31" s="497"/>
      <c r="P31" s="497"/>
      <c r="Q31" s="24"/>
      <c r="R31" s="24"/>
      <c r="S31" s="24"/>
      <c r="T31" s="24"/>
      <c r="U31" s="24"/>
      <c r="V31" s="24"/>
      <c r="W31" s="24"/>
      <c r="X31" s="24"/>
      <c r="Y31" s="24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</row>
    <row r="32" spans="1:42" ht="25.5" x14ac:dyDescent="0.25">
      <c r="A32" s="675" t="s">
        <v>159</v>
      </c>
      <c r="B32" s="676"/>
      <c r="C32" s="15" t="s">
        <v>57</v>
      </c>
      <c r="D32" s="15" t="s">
        <v>58</v>
      </c>
      <c r="E32" s="15" t="s">
        <v>59</v>
      </c>
      <c r="F32" s="24"/>
      <c r="G32" s="24"/>
      <c r="H32" s="24"/>
      <c r="I32" s="24"/>
      <c r="J32" s="305" t="s">
        <v>1262</v>
      </c>
      <c r="K32" s="342">
        <f>General!Y27</f>
        <v>0</v>
      </c>
      <c r="L32" s="498" t="s">
        <v>1035</v>
      </c>
      <c r="M32" s="500"/>
      <c r="N32" s="341"/>
      <c r="O32" s="337" t="s">
        <v>1269</v>
      </c>
      <c r="P32" s="338"/>
      <c r="Q32" s="24"/>
      <c r="R32" s="24"/>
      <c r="S32" s="24"/>
      <c r="T32" s="24"/>
      <c r="U32" s="24"/>
      <c r="V32" s="24"/>
      <c r="W32" s="24"/>
      <c r="X32" s="24"/>
      <c r="Y32" s="24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</row>
    <row r="33" spans="1:42" x14ac:dyDescent="0.25">
      <c r="A33" s="12" t="s">
        <v>60</v>
      </c>
      <c r="B33" s="20">
        <f>General!B6</f>
        <v>0</v>
      </c>
      <c r="C33" s="93">
        <f>ROUNDDOWN(E33/3,0)</f>
        <v>0</v>
      </c>
      <c r="D33" s="92">
        <f>ROUNDDOWN(E33*2/3,0)</f>
        <v>0</v>
      </c>
      <c r="E33" s="84">
        <f>(IF(General!B6&gt;=10,ROUND(25*2^(0.2*(General!B6-MOD(General!B6,5)))*IF(MOD(General!B6,5)&gt;=1,1.15,1)*IF(MOD(General!B6,5)&gt;=2,1.13,1)*IF(MOD(General!B6,5)&gt;=3,1.154,1)*IF(MOD(General!B6,5)&gt;=4,1.16667,1),0),General!B6*10))</f>
        <v>0</v>
      </c>
      <c r="F33" s="24"/>
      <c r="G33" s="24"/>
      <c r="H33" s="24"/>
      <c r="I33" s="24"/>
      <c r="J33" s="677" t="s">
        <v>1437</v>
      </c>
      <c r="K33" s="677"/>
      <c r="L33" s="341"/>
      <c r="M33" s="677" t="s">
        <v>1438</v>
      </c>
      <c r="N33" s="677"/>
      <c r="O33" s="530"/>
      <c r="P33" s="530"/>
      <c r="Q33" s="24"/>
      <c r="R33" s="24"/>
      <c r="S33" s="24"/>
      <c r="T33" s="24"/>
      <c r="U33" s="24"/>
      <c r="V33" s="24"/>
      <c r="W33" s="24"/>
      <c r="X33" s="24"/>
      <c r="Y33" s="24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</row>
    <row r="34" spans="1:42" x14ac:dyDescent="0.25">
      <c r="A34" s="24"/>
      <c r="B34" s="24"/>
      <c r="C34" s="22"/>
      <c r="D34" s="23"/>
      <c r="E34" s="22"/>
      <c r="F34" s="24"/>
      <c r="G34" s="24"/>
      <c r="H34" s="24"/>
      <c r="I34" s="24"/>
      <c r="J34" s="677" t="s">
        <v>771</v>
      </c>
      <c r="K34" s="677"/>
      <c r="L34" s="219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</row>
    <row r="35" spans="1:42" x14ac:dyDescent="0.25">
      <c r="A35" s="12" t="s">
        <v>770</v>
      </c>
      <c r="B35" s="227"/>
      <c r="C35" s="575">
        <f>IF(B35="Yes",4,0)</f>
        <v>0</v>
      </c>
      <c r="D35" s="575"/>
      <c r="E35" s="22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</row>
    <row r="36" spans="1:42" ht="15" customHeight="1" x14ac:dyDescent="0.25">
      <c r="A36" s="12" t="s">
        <v>61</v>
      </c>
      <c r="B36" s="20">
        <f>General!B2</f>
        <v>0</v>
      </c>
      <c r="C36" s="575">
        <f>IF(B36="Large",2,IF(B36="Huge",4,IF(B36="Gargantuan",8,IF(B36="Colossal",16,IF(B36="Small",3/4,IF(B36="Tiny",1/2,IF(B36="Diminutive",1/4,IF(B36="Fine",1/8,1))))))))</f>
        <v>1</v>
      </c>
      <c r="D36" s="575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</row>
    <row r="37" spans="1:42" ht="15" customHeight="1" x14ac:dyDescent="0.25">
      <c r="B37" s="24"/>
      <c r="C37" s="674" t="s">
        <v>158</v>
      </c>
      <c r="D37" s="67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</row>
    <row r="38" spans="1:42" ht="25.5" customHeight="1" x14ac:dyDescent="0.25">
      <c r="A38" s="670" t="s">
        <v>157</v>
      </c>
      <c r="B38" s="671"/>
      <c r="C38" s="15" t="s">
        <v>57</v>
      </c>
      <c r="D38" s="15" t="s">
        <v>58</v>
      </c>
      <c r="E38" s="15" t="s">
        <v>59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</row>
    <row r="39" spans="1:42" x14ac:dyDescent="0.25">
      <c r="A39" s="672"/>
      <c r="B39" s="673"/>
      <c r="C39" s="84">
        <f>C33*($C$36+$C$35)</f>
        <v>0</v>
      </c>
      <c r="D39" s="84">
        <f t="shared" ref="D39:E39" si="2">D33*($C$36+$C$35)</f>
        <v>0</v>
      </c>
      <c r="E39" s="84">
        <f t="shared" si="2"/>
        <v>0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</row>
    <row r="40" spans="1:42" x14ac:dyDescent="0.25">
      <c r="A40" s="12" t="s">
        <v>62</v>
      </c>
      <c r="B40" s="13" t="str">
        <f>IF(B31&lt;=C39,"Light",IF(AND(B31&lt;=D39,B31&gt;C39),"Medium",IF(AND(B31&lt;=E39,B31&gt;D39),"Heavy",IF(B31&gt;E39,"Overload",0))))</f>
        <v>Light</v>
      </c>
      <c r="C40" s="26"/>
      <c r="D40" s="26"/>
      <c r="E40" s="26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</row>
    <row r="41" spans="1:42" ht="15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</row>
    <row r="42" spans="1:42" ht="1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</row>
    <row r="43" spans="1:42" ht="1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</row>
    <row r="44" spans="1:42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</row>
    <row r="45" spans="1:42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</row>
    <row r="46" spans="1:42" ht="1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</row>
    <row r="47" spans="1:42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</row>
    <row r="48" spans="1:42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</row>
    <row r="49" spans="1:42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2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2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2" spans="1:42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</row>
    <row r="53" spans="1:42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</row>
    <row r="54" spans="1:42" ht="16.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</row>
    <row r="55" spans="1:42" ht="38.2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</row>
    <row r="56" spans="1:42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</row>
    <row r="57" spans="1:42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</row>
    <row r="58" spans="1:42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</row>
    <row r="59" spans="1:42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</row>
    <row r="60" spans="1:42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</row>
    <row r="61" spans="1:42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</row>
    <row r="62" spans="1:42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</row>
    <row r="63" spans="1:42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</row>
    <row r="64" spans="1:42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</row>
    <row r="65" spans="1:42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</row>
    <row r="66" spans="1:42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</row>
    <row r="67" spans="1:42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</row>
    <row r="68" spans="1:42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</row>
    <row r="69" spans="1:42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</row>
    <row r="70" spans="1:42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</row>
    <row r="71" spans="1:42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</row>
    <row r="72" spans="1:42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</row>
    <row r="73" spans="1:42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</row>
    <row r="74" spans="1:42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</row>
    <row r="75" spans="1:42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</row>
    <row r="76" spans="1:42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</row>
    <row r="77" spans="1:42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</row>
    <row r="78" spans="1:42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</row>
    <row r="79" spans="1:42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</row>
    <row r="80" spans="1:42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</row>
    <row r="81" spans="1:42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</row>
    <row r="82" spans="1:42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</row>
    <row r="83" spans="1:42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</row>
    <row r="84" spans="1:42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</row>
    <row r="85" spans="1:42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</row>
    <row r="86" spans="1:42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</row>
    <row r="87" spans="1:42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</row>
    <row r="88" spans="1:42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</row>
    <row r="89" spans="1:42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</row>
    <row r="90" spans="1:42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</row>
    <row r="91" spans="1:42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</row>
    <row r="92" spans="1:42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</row>
    <row r="93" spans="1:42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</row>
    <row r="94" spans="1:42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</row>
    <row r="95" spans="1:42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</row>
    <row r="96" spans="1:42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</row>
    <row r="97" spans="1:42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</row>
    <row r="98" spans="1:42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</row>
    <row r="99" spans="1:42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</row>
    <row r="100" spans="1:42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</row>
    <row r="101" spans="1:42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</row>
    <row r="102" spans="1:42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</row>
    <row r="103" spans="1:42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</row>
    <row r="104" spans="1:42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</row>
    <row r="105" spans="1:42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</row>
    <row r="106" spans="1:42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</row>
    <row r="107" spans="1:42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</row>
    <row r="108" spans="1:42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</row>
    <row r="109" spans="1:42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</row>
    <row r="110" spans="1:42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</row>
    <row r="111" spans="1:42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</row>
    <row r="112" spans="1:42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</row>
    <row r="113" spans="1:42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</row>
    <row r="114" spans="1:42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</row>
    <row r="115" spans="1:42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</row>
    <row r="116" spans="1:42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</row>
    <row r="117" spans="1:42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</row>
  </sheetData>
  <mergeCells count="41">
    <mergeCell ref="G8:Y8"/>
    <mergeCell ref="A1:A2"/>
    <mergeCell ref="B1:B2"/>
    <mergeCell ref="C1:C2"/>
    <mergeCell ref="D1:D2"/>
    <mergeCell ref="E1:E2"/>
    <mergeCell ref="G1:I2"/>
    <mergeCell ref="G3:Y3"/>
    <mergeCell ref="G4:Y4"/>
    <mergeCell ref="G5:Y5"/>
    <mergeCell ref="G6:Y6"/>
    <mergeCell ref="G7:Y7"/>
    <mergeCell ref="G20:Y20"/>
    <mergeCell ref="G26:Y26"/>
    <mergeCell ref="G10:Y10"/>
    <mergeCell ref="G13:Y13"/>
    <mergeCell ref="G14:Y14"/>
    <mergeCell ref="G15:Y15"/>
    <mergeCell ref="G22:Y22"/>
    <mergeCell ref="G23:Y23"/>
    <mergeCell ref="G24:Y24"/>
    <mergeCell ref="G25:Y25"/>
    <mergeCell ref="G16:Y16"/>
    <mergeCell ref="G17:Y17"/>
    <mergeCell ref="G18:Y18"/>
    <mergeCell ref="G19:Y19"/>
    <mergeCell ref="G21:Y21"/>
    <mergeCell ref="G28:Y28"/>
    <mergeCell ref="G27:Y27"/>
    <mergeCell ref="C35:D35"/>
    <mergeCell ref="A38:B39"/>
    <mergeCell ref="C36:D36"/>
    <mergeCell ref="C37:D37"/>
    <mergeCell ref="G29:Y29"/>
    <mergeCell ref="A32:B32"/>
    <mergeCell ref="J33:K33"/>
    <mergeCell ref="M33:N33"/>
    <mergeCell ref="O33:P33"/>
    <mergeCell ref="J34:K34"/>
    <mergeCell ref="J31:P31"/>
    <mergeCell ref="L32:M32"/>
  </mergeCells>
  <conditionalFormatting sqref="B40">
    <cfRule type="expression" dxfId="2" priority="8">
      <formula>$B$40="Heavy"</formula>
    </cfRule>
    <cfRule type="expression" dxfId="1" priority="9">
      <formula>$B$40="Medium"</formula>
    </cfRule>
    <cfRule type="expression" dxfId="0" priority="10">
      <formula>$B$40="Light"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00"/>
  <sheetViews>
    <sheetView workbookViewId="0">
      <selection activeCell="J38" sqref="J38"/>
    </sheetView>
  </sheetViews>
  <sheetFormatPr defaultRowHeight="15" x14ac:dyDescent="0.25"/>
  <cols>
    <col min="4" max="4" width="6.85546875" customWidth="1"/>
    <col min="11" max="11" width="7.7109375" customWidth="1"/>
    <col min="18" max="18" width="7.5703125" customWidth="1"/>
  </cols>
  <sheetData>
    <row r="1" spans="1:43" ht="15.75" x14ac:dyDescent="0.25">
      <c r="A1" s="497" t="s">
        <v>161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</row>
    <row r="2" spans="1:43" x14ac:dyDescent="0.25">
      <c r="A2" s="684"/>
      <c r="B2" s="685"/>
      <c r="C2" s="685"/>
      <c r="D2" s="685"/>
      <c r="E2" s="685"/>
      <c r="F2" s="685"/>
      <c r="G2" s="686"/>
      <c r="H2" s="684"/>
      <c r="I2" s="685"/>
      <c r="J2" s="685"/>
      <c r="K2" s="685"/>
      <c r="L2" s="685"/>
      <c r="M2" s="685"/>
      <c r="N2" s="686"/>
      <c r="O2" s="690"/>
      <c r="P2" s="690"/>
      <c r="Q2" s="690"/>
      <c r="R2" s="690"/>
      <c r="S2" s="690"/>
      <c r="T2" s="690"/>
      <c r="U2" s="690"/>
      <c r="V2" s="69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x14ac:dyDescent="0.25">
      <c r="A3" s="687"/>
      <c r="B3" s="688"/>
      <c r="C3" s="688"/>
      <c r="D3" s="688"/>
      <c r="E3" s="688"/>
      <c r="F3" s="688"/>
      <c r="G3" s="689"/>
      <c r="H3" s="687"/>
      <c r="I3" s="688"/>
      <c r="J3" s="688"/>
      <c r="K3" s="688"/>
      <c r="L3" s="688"/>
      <c r="M3" s="688"/>
      <c r="N3" s="689"/>
      <c r="O3" s="690"/>
      <c r="P3" s="690"/>
      <c r="Q3" s="690"/>
      <c r="R3" s="690"/>
      <c r="S3" s="690"/>
      <c r="T3" s="690"/>
      <c r="U3" s="690"/>
      <c r="V3" s="69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</row>
    <row r="4" spans="1:43" x14ac:dyDescent="0.25">
      <c r="A4" s="684"/>
      <c r="B4" s="685"/>
      <c r="C4" s="685"/>
      <c r="D4" s="685"/>
      <c r="E4" s="685"/>
      <c r="F4" s="685"/>
      <c r="G4" s="686"/>
      <c r="H4" s="684"/>
      <c r="I4" s="685"/>
      <c r="J4" s="685"/>
      <c r="K4" s="685"/>
      <c r="L4" s="685"/>
      <c r="M4" s="685"/>
      <c r="N4" s="686"/>
      <c r="O4" s="690"/>
      <c r="P4" s="690"/>
      <c r="Q4" s="690"/>
      <c r="R4" s="690"/>
      <c r="S4" s="690"/>
      <c r="T4" s="690"/>
      <c r="U4" s="690"/>
      <c r="V4" s="69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</row>
    <row r="5" spans="1:43" x14ac:dyDescent="0.25">
      <c r="A5" s="687"/>
      <c r="B5" s="688"/>
      <c r="C5" s="688"/>
      <c r="D5" s="688"/>
      <c r="E5" s="688"/>
      <c r="F5" s="688"/>
      <c r="G5" s="689"/>
      <c r="H5" s="687"/>
      <c r="I5" s="688"/>
      <c r="J5" s="688"/>
      <c r="K5" s="688"/>
      <c r="L5" s="688"/>
      <c r="M5" s="688"/>
      <c r="N5" s="689"/>
      <c r="O5" s="690"/>
      <c r="P5" s="690"/>
      <c r="Q5" s="690"/>
      <c r="R5" s="690"/>
      <c r="S5" s="690"/>
      <c r="T5" s="690"/>
      <c r="U5" s="690"/>
      <c r="V5" s="69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</row>
    <row r="6" spans="1:43" x14ac:dyDescent="0.25">
      <c r="A6" s="684"/>
      <c r="B6" s="685"/>
      <c r="C6" s="685"/>
      <c r="D6" s="685"/>
      <c r="E6" s="685"/>
      <c r="F6" s="685"/>
      <c r="G6" s="686"/>
      <c r="H6" s="684"/>
      <c r="I6" s="685"/>
      <c r="J6" s="685"/>
      <c r="K6" s="685"/>
      <c r="L6" s="685"/>
      <c r="M6" s="685"/>
      <c r="N6" s="686"/>
      <c r="O6" s="690"/>
      <c r="P6" s="690"/>
      <c r="Q6" s="690"/>
      <c r="R6" s="690"/>
      <c r="S6" s="690"/>
      <c r="T6" s="690"/>
      <c r="U6" s="690"/>
      <c r="V6" s="69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</row>
    <row r="7" spans="1:43" x14ac:dyDescent="0.25">
      <c r="A7" s="687"/>
      <c r="B7" s="688"/>
      <c r="C7" s="688"/>
      <c r="D7" s="688"/>
      <c r="E7" s="688"/>
      <c r="F7" s="688"/>
      <c r="G7" s="689"/>
      <c r="H7" s="687"/>
      <c r="I7" s="688"/>
      <c r="J7" s="688"/>
      <c r="K7" s="688"/>
      <c r="L7" s="688"/>
      <c r="M7" s="688"/>
      <c r="N7" s="689"/>
      <c r="O7" s="690"/>
      <c r="P7" s="690"/>
      <c r="Q7" s="690"/>
      <c r="R7" s="690"/>
      <c r="S7" s="690"/>
      <c r="T7" s="690"/>
      <c r="U7" s="690"/>
      <c r="V7" s="69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</row>
    <row r="8" spans="1:43" x14ac:dyDescent="0.25">
      <c r="A8" s="684"/>
      <c r="B8" s="685"/>
      <c r="C8" s="685"/>
      <c r="D8" s="685"/>
      <c r="E8" s="685"/>
      <c r="F8" s="685"/>
      <c r="G8" s="686"/>
      <c r="H8" s="684"/>
      <c r="I8" s="685"/>
      <c r="J8" s="685"/>
      <c r="K8" s="685"/>
      <c r="L8" s="685"/>
      <c r="M8" s="685"/>
      <c r="N8" s="686"/>
      <c r="O8" s="690"/>
      <c r="P8" s="690"/>
      <c r="Q8" s="690"/>
      <c r="R8" s="690"/>
      <c r="S8" s="690"/>
      <c r="T8" s="690"/>
      <c r="U8" s="690"/>
      <c r="V8" s="69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</row>
    <row r="9" spans="1:43" x14ac:dyDescent="0.25">
      <c r="A9" s="687"/>
      <c r="B9" s="688"/>
      <c r="C9" s="688"/>
      <c r="D9" s="688"/>
      <c r="E9" s="688"/>
      <c r="F9" s="688"/>
      <c r="G9" s="689"/>
      <c r="H9" s="687"/>
      <c r="I9" s="688"/>
      <c r="J9" s="688"/>
      <c r="K9" s="688"/>
      <c r="L9" s="688"/>
      <c r="M9" s="688"/>
      <c r="N9" s="689"/>
      <c r="O9" s="690"/>
      <c r="P9" s="690"/>
      <c r="Q9" s="690"/>
      <c r="R9" s="690"/>
      <c r="S9" s="690"/>
      <c r="T9" s="690"/>
      <c r="U9" s="690"/>
      <c r="V9" s="69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</row>
    <row r="10" spans="1:43" x14ac:dyDescent="0.25">
      <c r="A10" s="684"/>
      <c r="B10" s="685"/>
      <c r="C10" s="685"/>
      <c r="D10" s="685"/>
      <c r="E10" s="685"/>
      <c r="F10" s="685"/>
      <c r="G10" s="686"/>
      <c r="H10" s="684"/>
      <c r="I10" s="685"/>
      <c r="J10" s="685"/>
      <c r="K10" s="685"/>
      <c r="L10" s="685"/>
      <c r="M10" s="685"/>
      <c r="N10" s="686"/>
      <c r="O10" s="690"/>
      <c r="P10" s="690"/>
      <c r="Q10" s="690"/>
      <c r="R10" s="690"/>
      <c r="S10" s="690"/>
      <c r="T10" s="690"/>
      <c r="U10" s="690"/>
      <c r="V10" s="69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</row>
    <row r="11" spans="1:43" x14ac:dyDescent="0.25">
      <c r="A11" s="687"/>
      <c r="B11" s="688"/>
      <c r="C11" s="688"/>
      <c r="D11" s="688"/>
      <c r="E11" s="688"/>
      <c r="F11" s="688"/>
      <c r="G11" s="689"/>
      <c r="H11" s="687"/>
      <c r="I11" s="688"/>
      <c r="J11" s="688"/>
      <c r="K11" s="688"/>
      <c r="L11" s="688"/>
      <c r="M11" s="688"/>
      <c r="N11" s="689"/>
      <c r="O11" s="690"/>
      <c r="P11" s="690"/>
      <c r="Q11" s="690"/>
      <c r="R11" s="690"/>
      <c r="S11" s="690"/>
      <c r="T11" s="690"/>
      <c r="U11" s="690"/>
      <c r="V11" s="69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</row>
    <row r="12" spans="1:43" x14ac:dyDescent="0.25">
      <c r="A12" s="684"/>
      <c r="B12" s="685"/>
      <c r="C12" s="685"/>
      <c r="D12" s="685"/>
      <c r="E12" s="685"/>
      <c r="F12" s="685"/>
      <c r="G12" s="686"/>
      <c r="H12" s="684"/>
      <c r="I12" s="685"/>
      <c r="J12" s="685"/>
      <c r="K12" s="685"/>
      <c r="L12" s="685"/>
      <c r="M12" s="685"/>
      <c r="N12" s="686"/>
      <c r="O12" s="690"/>
      <c r="P12" s="690"/>
      <c r="Q12" s="690"/>
      <c r="R12" s="690"/>
      <c r="S12" s="690"/>
      <c r="T12" s="690"/>
      <c r="U12" s="690"/>
      <c r="V12" s="69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</row>
    <row r="13" spans="1:43" x14ac:dyDescent="0.25">
      <c r="A13" s="687"/>
      <c r="B13" s="688"/>
      <c r="C13" s="688"/>
      <c r="D13" s="688"/>
      <c r="E13" s="688"/>
      <c r="F13" s="688"/>
      <c r="G13" s="689"/>
      <c r="H13" s="687"/>
      <c r="I13" s="688"/>
      <c r="J13" s="688"/>
      <c r="K13" s="688"/>
      <c r="L13" s="688"/>
      <c r="M13" s="688"/>
      <c r="N13" s="689"/>
      <c r="O13" s="690"/>
      <c r="P13" s="690"/>
      <c r="Q13" s="690"/>
      <c r="R13" s="690"/>
      <c r="S13" s="690"/>
      <c r="T13" s="690"/>
      <c r="U13" s="690"/>
      <c r="V13" s="69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</row>
    <row r="14" spans="1:43" x14ac:dyDescent="0.25">
      <c r="A14" s="684"/>
      <c r="B14" s="685"/>
      <c r="C14" s="685"/>
      <c r="D14" s="685"/>
      <c r="E14" s="685"/>
      <c r="F14" s="685"/>
      <c r="G14" s="686"/>
      <c r="H14" s="684"/>
      <c r="I14" s="685"/>
      <c r="J14" s="685"/>
      <c r="K14" s="685"/>
      <c r="L14" s="685"/>
      <c r="M14" s="685"/>
      <c r="N14" s="686"/>
      <c r="O14" s="690"/>
      <c r="P14" s="690"/>
      <c r="Q14" s="690"/>
      <c r="R14" s="690"/>
      <c r="S14" s="690"/>
      <c r="T14" s="690"/>
      <c r="U14" s="690"/>
      <c r="V14" s="69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</row>
    <row r="15" spans="1:43" x14ac:dyDescent="0.25">
      <c r="A15" s="687"/>
      <c r="B15" s="688"/>
      <c r="C15" s="688"/>
      <c r="D15" s="688"/>
      <c r="E15" s="688"/>
      <c r="F15" s="688"/>
      <c r="G15" s="689"/>
      <c r="H15" s="687"/>
      <c r="I15" s="688"/>
      <c r="J15" s="688"/>
      <c r="K15" s="688"/>
      <c r="L15" s="688"/>
      <c r="M15" s="688"/>
      <c r="N15" s="689"/>
      <c r="O15" s="690"/>
      <c r="P15" s="690"/>
      <c r="Q15" s="690"/>
      <c r="R15" s="690"/>
      <c r="S15" s="690"/>
      <c r="T15" s="690"/>
      <c r="U15" s="690"/>
      <c r="V15" s="69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</row>
    <row r="16" spans="1:43" x14ac:dyDescent="0.25">
      <c r="A16" s="684"/>
      <c r="B16" s="685"/>
      <c r="C16" s="685"/>
      <c r="D16" s="685"/>
      <c r="E16" s="685"/>
      <c r="F16" s="685"/>
      <c r="G16" s="686"/>
      <c r="H16" s="684"/>
      <c r="I16" s="685"/>
      <c r="J16" s="685"/>
      <c r="K16" s="685"/>
      <c r="L16" s="685"/>
      <c r="M16" s="685"/>
      <c r="N16" s="686"/>
      <c r="O16" s="690"/>
      <c r="P16" s="690"/>
      <c r="Q16" s="690"/>
      <c r="R16" s="690"/>
      <c r="S16" s="690"/>
      <c r="T16" s="690"/>
      <c r="U16" s="690"/>
      <c r="V16" s="69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</row>
    <row r="17" spans="1:43" x14ac:dyDescent="0.25">
      <c r="A17" s="687"/>
      <c r="B17" s="688"/>
      <c r="C17" s="688"/>
      <c r="D17" s="688"/>
      <c r="E17" s="688"/>
      <c r="F17" s="688"/>
      <c r="G17" s="689"/>
      <c r="H17" s="687"/>
      <c r="I17" s="688"/>
      <c r="J17" s="688"/>
      <c r="K17" s="688"/>
      <c r="L17" s="688"/>
      <c r="M17" s="688"/>
      <c r="N17" s="689"/>
      <c r="O17" s="690"/>
      <c r="P17" s="690"/>
      <c r="Q17" s="690"/>
      <c r="R17" s="690"/>
      <c r="S17" s="690"/>
      <c r="T17" s="690"/>
      <c r="U17" s="690"/>
      <c r="V17" s="69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</row>
    <row r="18" spans="1:43" x14ac:dyDescent="0.25">
      <c r="A18" s="684"/>
      <c r="B18" s="685"/>
      <c r="C18" s="685"/>
      <c r="D18" s="685"/>
      <c r="E18" s="685"/>
      <c r="F18" s="685"/>
      <c r="G18" s="686"/>
      <c r="H18" s="684"/>
      <c r="I18" s="685"/>
      <c r="J18" s="685"/>
      <c r="K18" s="685"/>
      <c r="L18" s="685"/>
      <c r="M18" s="685"/>
      <c r="N18" s="686"/>
      <c r="O18" s="690"/>
      <c r="P18" s="690"/>
      <c r="Q18" s="690"/>
      <c r="R18" s="690"/>
      <c r="S18" s="690"/>
      <c r="T18" s="690"/>
      <c r="U18" s="690"/>
      <c r="V18" s="69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</row>
    <row r="19" spans="1:43" x14ac:dyDescent="0.25">
      <c r="A19" s="687"/>
      <c r="B19" s="688"/>
      <c r="C19" s="688"/>
      <c r="D19" s="688"/>
      <c r="E19" s="688"/>
      <c r="F19" s="688"/>
      <c r="G19" s="689"/>
      <c r="H19" s="687"/>
      <c r="I19" s="688"/>
      <c r="J19" s="688"/>
      <c r="K19" s="688"/>
      <c r="L19" s="688"/>
      <c r="M19" s="688"/>
      <c r="N19" s="689"/>
      <c r="O19" s="690"/>
      <c r="P19" s="690"/>
      <c r="Q19" s="690"/>
      <c r="R19" s="690"/>
      <c r="S19" s="690"/>
      <c r="T19" s="690"/>
      <c r="U19" s="690"/>
      <c r="V19" s="69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</row>
    <row r="20" spans="1:43" x14ac:dyDescent="0.25">
      <c r="A20" s="684"/>
      <c r="B20" s="685"/>
      <c r="C20" s="685"/>
      <c r="D20" s="685"/>
      <c r="E20" s="685"/>
      <c r="F20" s="685"/>
      <c r="G20" s="686"/>
      <c r="H20" s="684"/>
      <c r="I20" s="685"/>
      <c r="J20" s="685"/>
      <c r="K20" s="685"/>
      <c r="L20" s="685"/>
      <c r="M20" s="685"/>
      <c r="N20" s="686"/>
      <c r="O20" s="690"/>
      <c r="P20" s="690"/>
      <c r="Q20" s="690"/>
      <c r="R20" s="690"/>
      <c r="S20" s="690"/>
      <c r="T20" s="690"/>
      <c r="U20" s="690"/>
      <c r="V20" s="69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</row>
    <row r="21" spans="1:43" x14ac:dyDescent="0.25">
      <c r="A21" s="687"/>
      <c r="B21" s="688"/>
      <c r="C21" s="688"/>
      <c r="D21" s="688"/>
      <c r="E21" s="688"/>
      <c r="F21" s="688"/>
      <c r="G21" s="689"/>
      <c r="H21" s="687"/>
      <c r="I21" s="688"/>
      <c r="J21" s="688"/>
      <c r="K21" s="688"/>
      <c r="L21" s="688"/>
      <c r="M21" s="688"/>
      <c r="N21" s="689"/>
      <c r="O21" s="690"/>
      <c r="P21" s="690"/>
      <c r="Q21" s="690"/>
      <c r="R21" s="690"/>
      <c r="S21" s="690"/>
      <c r="T21" s="690"/>
      <c r="U21" s="690"/>
      <c r="V21" s="69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</row>
    <row r="22" spans="1:43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</row>
    <row r="23" spans="1:43" ht="15.75" x14ac:dyDescent="0.25">
      <c r="A23" s="559" t="s">
        <v>162</v>
      </c>
      <c r="B23" s="559"/>
      <c r="C23" s="559"/>
      <c r="D23" s="559"/>
      <c r="E23" s="559"/>
      <c r="F23" s="30"/>
      <c r="G23" s="633" t="s">
        <v>163</v>
      </c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</row>
    <row r="24" spans="1:43" x14ac:dyDescent="0.25">
      <c r="A24" s="530"/>
      <c r="B24" s="530"/>
      <c r="C24" s="530"/>
      <c r="D24" s="530"/>
      <c r="E24" s="530"/>
      <c r="F24" s="30"/>
      <c r="G24" s="530"/>
      <c r="H24" s="530"/>
      <c r="I24" s="530"/>
      <c r="J24" s="530"/>
      <c r="K24" s="530"/>
      <c r="L24" s="530"/>
      <c r="M24" s="530"/>
      <c r="N24" s="530"/>
      <c r="O24" s="530"/>
      <c r="P24" s="530"/>
      <c r="Q24" s="530"/>
      <c r="R24" s="530"/>
      <c r="S24" s="530"/>
      <c r="T24" s="530"/>
      <c r="U24" s="530"/>
      <c r="V24" s="5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</row>
    <row r="25" spans="1:43" x14ac:dyDescent="0.25">
      <c r="A25" s="530"/>
      <c r="B25" s="530"/>
      <c r="C25" s="530"/>
      <c r="D25" s="530"/>
      <c r="E25" s="530"/>
      <c r="F25" s="30"/>
      <c r="G25" s="530"/>
      <c r="H25" s="530"/>
      <c r="I25" s="530"/>
      <c r="J25" s="530"/>
      <c r="K25" s="530"/>
      <c r="L25" s="530"/>
      <c r="M25" s="530"/>
      <c r="N25" s="530"/>
      <c r="O25" s="530"/>
      <c r="P25" s="530"/>
      <c r="Q25" s="530"/>
      <c r="R25" s="530"/>
      <c r="S25" s="530"/>
      <c r="T25" s="530"/>
      <c r="U25" s="530"/>
      <c r="V25" s="5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</row>
    <row r="26" spans="1:43" x14ac:dyDescent="0.25">
      <c r="A26" s="530"/>
      <c r="B26" s="530"/>
      <c r="C26" s="530"/>
      <c r="D26" s="530"/>
      <c r="E26" s="530"/>
      <c r="F26" s="30"/>
      <c r="G26" s="530"/>
      <c r="H26" s="530"/>
      <c r="I26" s="530"/>
      <c r="J26" s="530"/>
      <c r="K26" s="530"/>
      <c r="L26" s="530"/>
      <c r="M26" s="530"/>
      <c r="N26" s="530"/>
      <c r="O26" s="530"/>
      <c r="P26" s="530"/>
      <c r="Q26" s="530"/>
      <c r="R26" s="530"/>
      <c r="S26" s="530"/>
      <c r="T26" s="530"/>
      <c r="U26" s="530"/>
      <c r="V26" s="5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</row>
    <row r="27" spans="1:43" x14ac:dyDescent="0.25">
      <c r="A27" s="530"/>
      <c r="B27" s="530"/>
      <c r="C27" s="530"/>
      <c r="D27" s="530"/>
      <c r="E27" s="530"/>
      <c r="F27" s="30"/>
      <c r="G27" s="530"/>
      <c r="H27" s="530"/>
      <c r="I27" s="530"/>
      <c r="J27" s="530"/>
      <c r="K27" s="530"/>
      <c r="L27" s="530"/>
      <c r="M27" s="530"/>
      <c r="N27" s="530"/>
      <c r="O27" s="530"/>
      <c r="P27" s="530"/>
      <c r="Q27" s="530"/>
      <c r="R27" s="530"/>
      <c r="S27" s="530"/>
      <c r="T27" s="530"/>
      <c r="U27" s="530"/>
      <c r="V27" s="5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</row>
    <row r="28" spans="1:43" x14ac:dyDescent="0.25">
      <c r="A28" s="530"/>
      <c r="B28" s="530"/>
      <c r="C28" s="530"/>
      <c r="D28" s="530"/>
      <c r="E28" s="530"/>
      <c r="F28" s="30"/>
      <c r="G28" s="530"/>
      <c r="H28" s="530"/>
      <c r="I28" s="530"/>
      <c r="J28" s="530"/>
      <c r="K28" s="530"/>
      <c r="L28" s="530"/>
      <c r="M28" s="530"/>
      <c r="N28" s="530"/>
      <c r="O28" s="530"/>
      <c r="P28" s="530"/>
      <c r="Q28" s="530"/>
      <c r="R28" s="530"/>
      <c r="S28" s="530"/>
      <c r="T28" s="530"/>
      <c r="U28" s="530"/>
      <c r="V28" s="5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</row>
    <row r="29" spans="1:43" x14ac:dyDescent="0.25">
      <c r="A29" s="530"/>
      <c r="B29" s="530"/>
      <c r="C29" s="530"/>
      <c r="D29" s="530"/>
      <c r="E29" s="530"/>
      <c r="F29" s="30"/>
      <c r="G29" s="530"/>
      <c r="H29" s="530"/>
      <c r="I29" s="530"/>
      <c r="J29" s="530"/>
      <c r="K29" s="530"/>
      <c r="L29" s="530"/>
      <c r="M29" s="530"/>
      <c r="N29" s="530"/>
      <c r="O29" s="530"/>
      <c r="P29" s="530"/>
      <c r="Q29" s="530"/>
      <c r="R29" s="530"/>
      <c r="S29" s="530"/>
      <c r="T29" s="530"/>
      <c r="U29" s="530"/>
      <c r="V29" s="5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</row>
    <row r="30" spans="1:43" x14ac:dyDescent="0.25">
      <c r="A30" s="530"/>
      <c r="B30" s="530"/>
      <c r="C30" s="530"/>
      <c r="D30" s="530"/>
      <c r="E30" s="530"/>
      <c r="F30" s="30"/>
      <c r="G30" s="530"/>
      <c r="H30" s="530"/>
      <c r="I30" s="530"/>
      <c r="J30" s="530"/>
      <c r="K30" s="530"/>
      <c r="L30" s="530"/>
      <c r="M30" s="530"/>
      <c r="N30" s="530"/>
      <c r="O30" s="530"/>
      <c r="P30" s="530"/>
      <c r="Q30" s="530"/>
      <c r="R30" s="530"/>
      <c r="S30" s="530"/>
      <c r="T30" s="530"/>
      <c r="U30" s="530"/>
      <c r="V30" s="5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</row>
    <row r="31" spans="1:43" x14ac:dyDescent="0.25">
      <c r="A31" s="530"/>
      <c r="B31" s="530"/>
      <c r="C31" s="530"/>
      <c r="D31" s="530"/>
      <c r="E31" s="530"/>
      <c r="F31" s="30"/>
      <c r="G31" s="530"/>
      <c r="H31" s="530"/>
      <c r="I31" s="530"/>
      <c r="J31" s="530"/>
      <c r="K31" s="530"/>
      <c r="L31" s="530"/>
      <c r="M31" s="530"/>
      <c r="N31" s="530"/>
      <c r="O31" s="530"/>
      <c r="P31" s="530"/>
      <c r="Q31" s="530"/>
      <c r="R31" s="530"/>
      <c r="S31" s="530"/>
      <c r="T31" s="530"/>
      <c r="U31" s="530"/>
      <c r="V31" s="5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</row>
    <row r="32" spans="1:43" x14ac:dyDescent="0.25">
      <c r="A32" s="530"/>
      <c r="B32" s="530"/>
      <c r="C32" s="530"/>
      <c r="D32" s="530"/>
      <c r="E32" s="530"/>
      <c r="F32" s="30"/>
      <c r="G32" s="530"/>
      <c r="H32" s="530"/>
      <c r="I32" s="530"/>
      <c r="J32" s="530"/>
      <c r="K32" s="530"/>
      <c r="L32" s="530"/>
      <c r="M32" s="530"/>
      <c r="N32" s="530"/>
      <c r="O32" s="530"/>
      <c r="P32" s="530"/>
      <c r="Q32" s="530"/>
      <c r="R32" s="530"/>
      <c r="S32" s="530"/>
      <c r="T32" s="530"/>
      <c r="U32" s="530"/>
      <c r="V32" s="5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</row>
    <row r="33" spans="1:43" x14ac:dyDescent="0.25">
      <c r="A33" s="530"/>
      <c r="B33" s="530"/>
      <c r="C33" s="530"/>
      <c r="D33" s="530"/>
      <c r="E33" s="530"/>
      <c r="F33" s="30"/>
      <c r="G33" s="530"/>
      <c r="H33" s="530"/>
      <c r="I33" s="530"/>
      <c r="J33" s="530"/>
      <c r="K33" s="530"/>
      <c r="L33" s="530"/>
      <c r="M33" s="530"/>
      <c r="N33" s="530"/>
      <c r="O33" s="530"/>
      <c r="P33" s="530"/>
      <c r="Q33" s="530"/>
      <c r="R33" s="530"/>
      <c r="S33" s="530"/>
      <c r="T33" s="530"/>
      <c r="U33" s="530"/>
      <c r="V33" s="5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</row>
    <row r="34" spans="1:43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</row>
    <row r="35" spans="1:43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</row>
    <row r="36" spans="1:43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</row>
    <row r="37" spans="1:43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</row>
    <row r="38" spans="1:43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</row>
    <row r="39" spans="1:43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</row>
    <row r="40" spans="1:43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</row>
    <row r="41" spans="1:43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</row>
    <row r="42" spans="1:43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</row>
    <row r="43" spans="1:43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</row>
    <row r="44" spans="1:43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</row>
    <row r="45" spans="1:43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</row>
    <row r="46" spans="1:43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</row>
    <row r="47" spans="1:43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</row>
    <row r="48" spans="1:43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</row>
    <row r="49" spans="1:43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</row>
    <row r="50" spans="1:43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</row>
    <row r="51" spans="1:43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</row>
    <row r="52" spans="1:43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</row>
    <row r="53" spans="1:43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</row>
    <row r="54" spans="1:43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</row>
    <row r="55" spans="1:43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</row>
    <row r="56" spans="1:43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</row>
    <row r="57" spans="1:43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</row>
    <row r="58" spans="1:43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</row>
    <row r="59" spans="1:43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</row>
    <row r="60" spans="1:43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</row>
    <row r="61" spans="1:43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</row>
    <row r="62" spans="1:43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</row>
    <row r="63" spans="1:43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</row>
    <row r="64" spans="1:43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</row>
    <row r="65" spans="1:43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</row>
    <row r="66" spans="1:43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</row>
    <row r="67" spans="1:43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</row>
    <row r="68" spans="1:43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</row>
    <row r="69" spans="1:43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</row>
    <row r="70" spans="1:43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</row>
    <row r="71" spans="1:43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</row>
    <row r="72" spans="1:43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</row>
    <row r="73" spans="1:43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</row>
    <row r="74" spans="1:43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</row>
    <row r="75" spans="1:43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</row>
    <row r="76" spans="1:43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</row>
    <row r="77" spans="1:43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</row>
    <row r="78" spans="1:43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</row>
    <row r="79" spans="1:43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</row>
    <row r="80" spans="1:43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</row>
    <row r="81" spans="1:43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</row>
    <row r="82" spans="1:43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</row>
    <row r="83" spans="1:43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</row>
    <row r="84" spans="1:43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</row>
    <row r="85" spans="1:43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</row>
    <row r="86" spans="1:43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</row>
    <row r="87" spans="1:43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</row>
    <row r="88" spans="1:43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</row>
    <row r="89" spans="1:43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</row>
    <row r="90" spans="1:43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</row>
    <row r="91" spans="1:43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</row>
    <row r="92" spans="1:43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</row>
    <row r="93" spans="1:43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</row>
    <row r="94" spans="1:43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</row>
    <row r="95" spans="1:43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</row>
    <row r="96" spans="1:43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</row>
    <row r="97" spans="1:43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</row>
    <row r="98" spans="1:43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</row>
    <row r="99" spans="1:43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</row>
    <row r="100" spans="1:43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</row>
  </sheetData>
  <mergeCells count="53">
    <mergeCell ref="A1:V1"/>
    <mergeCell ref="A2:G3"/>
    <mergeCell ref="H2:N3"/>
    <mergeCell ref="O2:V3"/>
    <mergeCell ref="A4:G5"/>
    <mergeCell ref="H4:N5"/>
    <mergeCell ref="O4:V5"/>
    <mergeCell ref="A6:G7"/>
    <mergeCell ref="H6:N7"/>
    <mergeCell ref="O6:V7"/>
    <mergeCell ref="A8:G9"/>
    <mergeCell ref="H8:N9"/>
    <mergeCell ref="O8:V9"/>
    <mergeCell ref="A10:G11"/>
    <mergeCell ref="H10:N11"/>
    <mergeCell ref="O10:V11"/>
    <mergeCell ref="A12:G13"/>
    <mergeCell ref="H12:N13"/>
    <mergeCell ref="O12:V13"/>
    <mergeCell ref="A14:G15"/>
    <mergeCell ref="H14:N15"/>
    <mergeCell ref="O14:V15"/>
    <mergeCell ref="A16:G17"/>
    <mergeCell ref="H16:N17"/>
    <mergeCell ref="O16:V17"/>
    <mergeCell ref="A18:G19"/>
    <mergeCell ref="H18:N19"/>
    <mergeCell ref="O18:V19"/>
    <mergeCell ref="A20:G21"/>
    <mergeCell ref="H20:N21"/>
    <mergeCell ref="O20:V21"/>
    <mergeCell ref="A23:E23"/>
    <mergeCell ref="G23:V23"/>
    <mergeCell ref="A24:E24"/>
    <mergeCell ref="G24:V24"/>
    <mergeCell ref="A25:E25"/>
    <mergeCell ref="G25:V25"/>
    <mergeCell ref="A26:E26"/>
    <mergeCell ref="G26:V26"/>
    <mergeCell ref="A27:E27"/>
    <mergeCell ref="G27:V27"/>
    <mergeCell ref="A28:E28"/>
    <mergeCell ref="G28:V28"/>
    <mergeCell ref="A32:E32"/>
    <mergeCell ref="G32:V32"/>
    <mergeCell ref="A33:E33"/>
    <mergeCell ref="G33:V33"/>
    <mergeCell ref="A29:E29"/>
    <mergeCell ref="G29:V29"/>
    <mergeCell ref="A30:E30"/>
    <mergeCell ref="G30:V30"/>
    <mergeCell ref="A31:E31"/>
    <mergeCell ref="G31:V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64"/>
  <sheetViews>
    <sheetView topLeftCell="G1" zoomScale="85" zoomScaleNormal="85" workbookViewId="0">
      <selection activeCell="Q73" sqref="Q73"/>
    </sheetView>
  </sheetViews>
  <sheetFormatPr defaultColWidth="9.140625" defaultRowHeight="15" x14ac:dyDescent="0.25"/>
  <cols>
    <col min="1" max="2" width="12.5703125" style="17" customWidth="1"/>
    <col min="3" max="3" width="10.42578125" style="17" customWidth="1"/>
    <col min="4" max="4" width="9.85546875" style="17" customWidth="1"/>
    <col min="5" max="5" width="10.5703125" style="17" customWidth="1"/>
    <col min="6" max="6" width="15.28515625" style="17" customWidth="1"/>
    <col min="7" max="7" width="13.5703125" style="17" customWidth="1"/>
    <col min="8" max="8" width="18" style="17" customWidth="1"/>
    <col min="9" max="9" width="15.85546875" style="17" customWidth="1"/>
    <col min="10" max="10" width="15.5703125" style="17" customWidth="1"/>
    <col min="11" max="11" width="15.140625" style="17" customWidth="1"/>
    <col min="12" max="12" width="4.28515625" style="17" customWidth="1"/>
    <col min="13" max="13" width="15.42578125" style="17" customWidth="1"/>
    <col min="14" max="14" width="15.7109375" style="17" customWidth="1"/>
    <col min="15" max="15" width="10.85546875" style="17" customWidth="1"/>
    <col min="16" max="16" width="10.140625" style="17" customWidth="1"/>
    <col min="17" max="17" width="9.85546875" style="17" customWidth="1"/>
    <col min="18" max="18" width="13.85546875" style="17" customWidth="1"/>
    <col min="19" max="19" width="13" style="17" customWidth="1"/>
    <col min="20" max="20" width="18.42578125" style="17" customWidth="1"/>
    <col min="21" max="21" width="17.42578125" style="17" customWidth="1"/>
    <col min="22" max="22" width="16" style="17" customWidth="1"/>
    <col min="23" max="23" width="20.28515625" style="17" customWidth="1"/>
    <col min="24" max="43" width="9.7109375" style="17" customWidth="1"/>
    <col min="44" max="16384" width="9.140625" style="17"/>
  </cols>
  <sheetData>
    <row r="1" spans="1:43" ht="22.5" customHeight="1" x14ac:dyDescent="0.25">
      <c r="A1" s="714" t="s">
        <v>435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714"/>
      <c r="T1" s="714"/>
      <c r="U1" s="714"/>
      <c r="V1" s="714"/>
      <c r="W1" s="714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</row>
    <row r="2" spans="1:43" ht="15" customHeight="1" x14ac:dyDescent="0.25">
      <c r="A2" s="715" t="s">
        <v>257</v>
      </c>
      <c r="B2" s="715"/>
      <c r="C2" s="715"/>
      <c r="D2" s="715"/>
      <c r="E2" s="715"/>
      <c r="F2" s="715"/>
      <c r="G2" s="715"/>
      <c r="H2" s="715" t="s">
        <v>460</v>
      </c>
      <c r="I2" s="715"/>
      <c r="J2" s="715"/>
      <c r="K2" s="715"/>
      <c r="L2" s="715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</row>
    <row r="3" spans="1:43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</row>
    <row r="4" spans="1:43" ht="18" customHeight="1" x14ac:dyDescent="0.25">
      <c r="A4" s="695" t="s">
        <v>443</v>
      </c>
      <c r="B4" s="696"/>
      <c r="C4" s="701" t="s">
        <v>437</v>
      </c>
      <c r="D4" s="701" t="s">
        <v>439</v>
      </c>
      <c r="E4" s="701" t="s">
        <v>438</v>
      </c>
      <c r="F4" s="691" t="s">
        <v>440</v>
      </c>
      <c r="G4" s="692"/>
      <c r="H4" s="691" t="s">
        <v>441</v>
      </c>
      <c r="I4" s="692"/>
      <c r="J4" s="691" t="s">
        <v>442</v>
      </c>
      <c r="K4" s="692"/>
      <c r="L4" s="36"/>
      <c r="M4" s="695" t="s">
        <v>1232</v>
      </c>
      <c r="N4" s="696"/>
      <c r="O4" s="701" t="s">
        <v>437</v>
      </c>
      <c r="P4" s="701" t="s">
        <v>439</v>
      </c>
      <c r="Q4" s="701" t="s">
        <v>438</v>
      </c>
      <c r="R4" s="691" t="s">
        <v>440</v>
      </c>
      <c r="S4" s="692"/>
      <c r="T4" s="691" t="s">
        <v>441</v>
      </c>
      <c r="U4" s="692"/>
      <c r="V4" s="691" t="s">
        <v>442</v>
      </c>
      <c r="W4" s="692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</row>
    <row r="5" spans="1:43" ht="18" customHeight="1" x14ac:dyDescent="0.25">
      <c r="A5" s="697"/>
      <c r="B5" s="698"/>
      <c r="C5" s="703"/>
      <c r="D5" s="703"/>
      <c r="E5" s="703"/>
      <c r="F5" s="151" t="s">
        <v>444</v>
      </c>
      <c r="G5" s="152" t="s">
        <v>445</v>
      </c>
      <c r="H5" s="151" t="s">
        <v>446</v>
      </c>
      <c r="I5" s="153" t="s">
        <v>434</v>
      </c>
      <c r="J5" s="154" t="s">
        <v>447</v>
      </c>
      <c r="K5" s="152" t="s">
        <v>448</v>
      </c>
      <c r="L5" s="36"/>
      <c r="M5" s="697"/>
      <c r="N5" s="698"/>
      <c r="O5" s="703"/>
      <c r="P5" s="703"/>
      <c r="Q5" s="703"/>
      <c r="R5" s="154" t="s">
        <v>466</v>
      </c>
      <c r="S5" s="152" t="s">
        <v>467</v>
      </c>
      <c r="T5" s="154" t="s">
        <v>1224</v>
      </c>
      <c r="U5" s="152" t="s">
        <v>1225</v>
      </c>
      <c r="V5" s="154" t="s">
        <v>1226</v>
      </c>
      <c r="W5" s="152" t="s">
        <v>1227</v>
      </c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</row>
    <row r="6" spans="1:43" ht="18" customHeight="1" x14ac:dyDescent="0.25">
      <c r="A6" s="542" t="s">
        <v>248</v>
      </c>
      <c r="B6" s="542"/>
      <c r="C6" s="101"/>
      <c r="D6" s="101"/>
      <c r="E6" s="101"/>
      <c r="F6" s="101"/>
      <c r="G6" s="101"/>
      <c r="H6" s="101"/>
      <c r="I6" s="101"/>
      <c r="J6" s="101"/>
      <c r="K6" s="101"/>
      <c r="L6" s="36"/>
      <c r="M6" s="542" t="s">
        <v>248</v>
      </c>
      <c r="N6" s="542"/>
      <c r="O6" s="101"/>
      <c r="P6" s="296"/>
      <c r="Q6" s="296"/>
      <c r="R6" s="291"/>
      <c r="S6" s="297"/>
      <c r="T6" s="291"/>
      <c r="U6" s="297"/>
      <c r="V6" s="291"/>
      <c r="W6" s="297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</row>
    <row r="7" spans="1:43" ht="18" customHeight="1" x14ac:dyDescent="0.25">
      <c r="A7" s="542" t="s">
        <v>247</v>
      </c>
      <c r="B7" s="542"/>
      <c r="C7" s="142" t="str">
        <f>IF(General!D44&gt;=3,"Yes","No")</f>
        <v>No</v>
      </c>
      <c r="D7" s="136" t="str">
        <f>IF(General!D44&gt;=5,"Yes","No")</f>
        <v>No</v>
      </c>
      <c r="E7" s="136" t="str">
        <f>IF(General!D44&gt;=7,"Yes","No")</f>
        <v>No</v>
      </c>
      <c r="F7" s="142" t="str">
        <f>IF(General!D44&gt;=9,"Yes","No")</f>
        <v>No</v>
      </c>
      <c r="G7" s="137" t="str">
        <f>IF(General!D44&gt;=9,"Yes","No")</f>
        <v>No</v>
      </c>
      <c r="H7" s="142" t="str">
        <f>IF(General!D44&gt;=11,"Yes","No")</f>
        <v>No</v>
      </c>
      <c r="I7" s="137" t="str">
        <f>IF(General!D44&gt;=11,"Yes","No")</f>
        <v>No</v>
      </c>
      <c r="J7" s="142" t="str">
        <f>IF(General!D44&gt;=13,"Yes","No")</f>
        <v>No</v>
      </c>
      <c r="K7" s="137" t="str">
        <f>IF(General!D44&gt;=13,"Yes","No")</f>
        <v>No</v>
      </c>
      <c r="L7" s="36"/>
      <c r="M7" s="542" t="s">
        <v>247</v>
      </c>
      <c r="N7" s="542"/>
      <c r="O7" s="290" t="str">
        <f>IF(AND(SUM(Skills!G19+Skills!H19)&gt;=6,SUM(Skills!G56+Skills!H56)&gt;=6,SUM(Skills!G41+Skills!H41)&gt;=3,General!B1="Geth"),"Yes","No")</f>
        <v>No</v>
      </c>
      <c r="P7" s="294" t="str">
        <f>IF(AND(SUM(Skills!G19+Skills!H19)&gt;=8,SUM(Skills!G56+Skills!H56)&gt;=8,SUM(Skills!G41+Skills!H41)&gt;=5,General!B1="Geth"),"Yes","No")</f>
        <v>No</v>
      </c>
      <c r="Q7" s="294" t="str">
        <f>IF(AND(SUM(Skills!G19+Skills!H19)&gt;=10,SUM(Skills!G56+Skills!H56)&gt;=10,SUM(Skills!G41+Skills!H41)&gt;=7,General!B1="Geth"),"Yes","No")</f>
        <v>No</v>
      </c>
      <c r="R7" s="294" t="str">
        <f>IF(AND(SUM(Skills!G19+Skills!H19)&gt;=12,SUM(Skills!G56+Skills!H56)&gt;=12,SUM(Skills!G41+Skills!H41)&gt;=9,General!B1="Geth"),"Yes","No")</f>
        <v>No</v>
      </c>
      <c r="S7" s="294" t="str">
        <f>IF(AND(SUM(Skills!G19+Skills!H19)&gt;=12,SUM(Skills!G56+Skills!H56)&gt;=12,SUM(Skills!G41+Skills!H41)&gt;=9,General!B1="Geth"),"Yes","No")</f>
        <v>No</v>
      </c>
      <c r="T7" s="294" t="str">
        <f>IF(AND(SUM(Skills!G19+Skills!H19)&gt;=14,SUM(Skills!G56+Skills!H56)&gt;=14,SUM(Skills!G41+Skills!H41)&gt;=11,General!B1="Geth"),"Yes","No")</f>
        <v>No</v>
      </c>
      <c r="U7" s="294" t="str">
        <f>IF(AND(SUM(Skills!G19+Skills!H19)&gt;=14,SUM(Skills!G56+Skills!H56)&gt;=14,SUM(Skills!G41+Skills!H41)&gt;=11,General!B1="Geth"),"Yes","No")</f>
        <v>No</v>
      </c>
      <c r="V7" s="294" t="str">
        <f>IF(AND(SUM(Skills!G19+Skills!H19)&gt;=16,SUM(Skills!G56+Skills!H56)&gt;=16,SUM(Skills!G41+Skills!H41)&gt;=13,General!B1="Geth"),"Yes","No")</f>
        <v>No</v>
      </c>
      <c r="W7" s="290" t="str">
        <f>IF(AND(SUM(Skills!G19+Skills!H19)&gt;=16,SUM(Skills!G56+Skills!H56)&gt;=16,SUM(Skills!G41+Skills!H41)&gt;=13,General!B1="Geth"),"Yes","No")</f>
        <v>No</v>
      </c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</row>
    <row r="8" spans="1:43" ht="18" customHeight="1" x14ac:dyDescent="0.25">
      <c r="A8" s="691" t="s">
        <v>436</v>
      </c>
      <c r="B8" s="692"/>
      <c r="C8" s="142">
        <f>IF(General!$N$10&gt;0,General!$N$10+1,1)</f>
        <v>1</v>
      </c>
      <c r="D8" s="360">
        <f>IF(General!$N$10&gt;0,General!$N$10+1,1)</f>
        <v>1</v>
      </c>
      <c r="E8" s="360">
        <f>IF(General!$N$10&gt;0,General!$N$10+1,1)</f>
        <v>1</v>
      </c>
      <c r="F8" s="360">
        <f>IF(General!$N$10&gt;0,General!$N$10+1,1)</f>
        <v>1</v>
      </c>
      <c r="G8" s="360">
        <f>IF(General!$N$10&gt;0,General!$N$10+1,1)</f>
        <v>1</v>
      </c>
      <c r="H8" s="360">
        <f>IF(General!$N$10&gt;0,General!$N$10+1,1)</f>
        <v>1</v>
      </c>
      <c r="I8" s="360">
        <f>IF(General!$N$10&gt;0,General!$N$10+1,1)</f>
        <v>1</v>
      </c>
      <c r="J8" s="360">
        <f>IF(General!$N$10&gt;0,General!$N$10+1,1)</f>
        <v>1</v>
      </c>
      <c r="K8" s="360">
        <f>IF(General!$N$10&gt;0,General!$N$10+1,1)</f>
        <v>1</v>
      </c>
      <c r="L8" s="36"/>
      <c r="M8" s="691" t="s">
        <v>436</v>
      </c>
      <c r="N8" s="692"/>
      <c r="O8" s="290">
        <f>IF(General!$N$12&gt;0,General!$N$12+1,1)</f>
        <v>1</v>
      </c>
      <c r="P8" s="290">
        <f>IF(General!$N$12&gt;0,General!$N$12+1,1)</f>
        <v>1</v>
      </c>
      <c r="Q8" s="290">
        <f>IF(General!$N$12&gt;0,General!$N$12+1,1)</f>
        <v>1</v>
      </c>
      <c r="R8" s="290">
        <f>IF(General!$N$12&gt;0,General!$N$12+1,1)</f>
        <v>1</v>
      </c>
      <c r="S8" s="290">
        <f>IF(General!$N$12&gt;0,General!$N$12+1,1)</f>
        <v>1</v>
      </c>
      <c r="T8" s="290">
        <f>IF(General!$N$12&gt;0,General!$N$12+1,1)</f>
        <v>1</v>
      </c>
      <c r="U8" s="290">
        <f>IF(General!$N$12&gt;0,General!$N$12+1,1)</f>
        <v>1</v>
      </c>
      <c r="V8" s="290">
        <f>IF(General!$N$12&gt;0,General!$N$12+1,1)</f>
        <v>1</v>
      </c>
      <c r="W8" s="290">
        <f>IF(General!$N$12&gt;0,General!$N$12+1,1)</f>
        <v>1</v>
      </c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</row>
    <row r="9" spans="1:43" ht="18" customHeight="1" x14ac:dyDescent="0.25">
      <c r="A9" s="691" t="s">
        <v>452</v>
      </c>
      <c r="B9" s="692"/>
      <c r="C9" s="136">
        <f>IF(General!$N$14&gt;0,General!$N$14,1)</f>
        <v>1</v>
      </c>
      <c r="D9" s="257">
        <f>IF(General!$N$14&gt;0,General!$N$14,1)</f>
        <v>1</v>
      </c>
      <c r="E9" s="257">
        <f>IF(General!$N$14&gt;0,General!$N$14,1)</f>
        <v>1</v>
      </c>
      <c r="F9" s="257">
        <f>IF(General!$N$14&gt;0,General!$N$14,1)</f>
        <v>1</v>
      </c>
      <c r="G9" s="257">
        <f>IF(General!$N$14&gt;0,General!$N$14,1)</f>
        <v>1</v>
      </c>
      <c r="H9" s="257">
        <f>IF(General!$N$14&gt;0,General!$N$14,1)</f>
        <v>1</v>
      </c>
      <c r="I9" s="142" t="s">
        <v>53</v>
      </c>
      <c r="J9" s="257">
        <f>IF(General!$N$14&gt;0,General!$N$14,1)</f>
        <v>1</v>
      </c>
      <c r="K9" s="255">
        <f>IF(General!$N$14&gt;0,General!$N$14,1)</f>
        <v>1</v>
      </c>
      <c r="L9" s="36"/>
      <c r="M9" s="691" t="s">
        <v>474</v>
      </c>
      <c r="N9" s="692"/>
      <c r="O9" s="290">
        <f>12+ROUNDDOWN((Skills!$G$19+Skills!$H$19)/2,0)</f>
        <v>12</v>
      </c>
      <c r="P9" s="290">
        <f>12+ROUNDDOWN((Skills!$G$19+Skills!$H$19)/2,0)</f>
        <v>12</v>
      </c>
      <c r="Q9" s="290">
        <f>12+ROUNDDOWN((Skills!$G$19+Skills!$H$19)/2,0)</f>
        <v>12</v>
      </c>
      <c r="R9" s="290">
        <f>12+ROUNDDOWN((Skills!$G$19+Skills!$H$19)/2,0)</f>
        <v>12</v>
      </c>
      <c r="S9" s="290">
        <f>12+ROUNDDOWN((Skills!$G$19+Skills!$H$19)/2,0)</f>
        <v>12</v>
      </c>
      <c r="T9" s="290">
        <f>12+ROUNDDOWN((Skills!$G$19+Skills!$H$19)/2,0)</f>
        <v>12</v>
      </c>
      <c r="U9" s="290">
        <f>12+ROUNDDOWN((Skills!$G$19+Skills!$H$19)/2,0)</f>
        <v>12</v>
      </c>
      <c r="V9" s="290">
        <f>12+ROUNDDOWN((Skills!$G$19+Skills!$H$19)/2,0)</f>
        <v>12</v>
      </c>
      <c r="W9" s="290">
        <f>12+ROUNDDOWN((Skills!$G$19+Skills!$H$19)/2,0)</f>
        <v>12</v>
      </c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</row>
    <row r="10" spans="1:43" ht="18" customHeight="1" x14ac:dyDescent="0.25">
      <c r="A10" s="542" t="s">
        <v>249</v>
      </c>
      <c r="B10" s="542"/>
      <c r="C10" s="142">
        <v>1</v>
      </c>
      <c r="D10" s="136">
        <v>1</v>
      </c>
      <c r="E10" s="136">
        <v>2</v>
      </c>
      <c r="F10" s="142" t="s">
        <v>53</v>
      </c>
      <c r="G10" s="142" t="s">
        <v>53</v>
      </c>
      <c r="H10" s="155" t="s">
        <v>450</v>
      </c>
      <c r="I10" s="142" t="s">
        <v>53</v>
      </c>
      <c r="J10" s="142" t="s">
        <v>53</v>
      </c>
      <c r="K10" s="142" t="s">
        <v>53</v>
      </c>
      <c r="L10" s="36"/>
      <c r="M10" s="542" t="s">
        <v>1228</v>
      </c>
      <c r="N10" s="542"/>
      <c r="O10" s="290" t="s">
        <v>509</v>
      </c>
      <c r="P10" s="290" t="s">
        <v>510</v>
      </c>
      <c r="Q10" s="290" t="s">
        <v>510</v>
      </c>
      <c r="R10" s="290" t="s">
        <v>53</v>
      </c>
      <c r="S10" s="299" t="s">
        <v>470</v>
      </c>
      <c r="T10" s="290" t="s">
        <v>53</v>
      </c>
      <c r="U10" s="290" t="s">
        <v>53</v>
      </c>
      <c r="V10" s="290" t="s">
        <v>53</v>
      </c>
      <c r="W10" s="299" t="s">
        <v>470</v>
      </c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3" ht="18" customHeight="1" x14ac:dyDescent="0.25">
      <c r="A11" s="691" t="s">
        <v>449</v>
      </c>
      <c r="B11" s="692"/>
      <c r="C11" s="142">
        <v>4</v>
      </c>
      <c r="D11" s="136">
        <v>3</v>
      </c>
      <c r="E11" s="136">
        <v>3</v>
      </c>
      <c r="F11" s="142" t="s">
        <v>53</v>
      </c>
      <c r="G11" s="142" t="s">
        <v>53</v>
      </c>
      <c r="H11" s="142" t="s">
        <v>53</v>
      </c>
      <c r="I11" s="261" t="s">
        <v>1076</v>
      </c>
      <c r="J11" s="142" t="s">
        <v>53</v>
      </c>
      <c r="K11" s="142" t="s">
        <v>53</v>
      </c>
      <c r="L11" s="36"/>
      <c r="M11" s="542" t="s">
        <v>1229</v>
      </c>
      <c r="N11" s="542"/>
      <c r="O11" s="290" t="s">
        <v>541</v>
      </c>
      <c r="P11" s="290" t="s">
        <v>541</v>
      </c>
      <c r="Q11" s="290" t="s">
        <v>541</v>
      </c>
      <c r="R11" s="290" t="s">
        <v>53</v>
      </c>
      <c r="S11" s="299" t="s">
        <v>1039</v>
      </c>
      <c r="T11" s="290" t="s">
        <v>53</v>
      </c>
      <c r="U11" s="290" t="s">
        <v>53</v>
      </c>
      <c r="V11" s="290" t="s">
        <v>53</v>
      </c>
      <c r="W11" s="299" t="s">
        <v>1039</v>
      </c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43" ht="18" customHeight="1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693" t="s">
        <v>1230</v>
      </c>
      <c r="N12" s="694"/>
      <c r="O12" s="290">
        <v>1</v>
      </c>
      <c r="P12" s="290">
        <v>1</v>
      </c>
      <c r="Q12" s="290">
        <v>1</v>
      </c>
      <c r="R12" s="290" t="s">
        <v>53</v>
      </c>
      <c r="S12" s="299" t="s">
        <v>450</v>
      </c>
      <c r="T12" s="290" t="s">
        <v>53</v>
      </c>
      <c r="U12" s="290" t="s">
        <v>53</v>
      </c>
      <c r="V12" s="290" t="s">
        <v>53</v>
      </c>
      <c r="W12" s="299" t="s">
        <v>450</v>
      </c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ht="18" customHeight="1" x14ac:dyDescent="0.25">
      <c r="A13" s="695" t="s">
        <v>774</v>
      </c>
      <c r="B13" s="696"/>
      <c r="C13" s="701" t="s">
        <v>437</v>
      </c>
      <c r="D13" s="701" t="s">
        <v>439</v>
      </c>
      <c r="E13" s="701" t="s">
        <v>438</v>
      </c>
      <c r="F13" s="691" t="s">
        <v>440</v>
      </c>
      <c r="G13" s="692"/>
      <c r="H13" s="691" t="s">
        <v>441</v>
      </c>
      <c r="I13" s="692"/>
      <c r="J13" s="691" t="s">
        <v>442</v>
      </c>
      <c r="K13" s="692"/>
      <c r="L13" s="36"/>
      <c r="M13" s="542" t="s">
        <v>471</v>
      </c>
      <c r="N13" s="542"/>
      <c r="O13" s="290">
        <v>10</v>
      </c>
      <c r="P13" s="290">
        <v>10</v>
      </c>
      <c r="Q13" s="290">
        <v>15</v>
      </c>
      <c r="R13" s="299" t="s">
        <v>482</v>
      </c>
      <c r="S13" s="290" t="s">
        <v>53</v>
      </c>
      <c r="T13" s="290" t="s">
        <v>53</v>
      </c>
      <c r="U13" s="290" t="s">
        <v>53</v>
      </c>
      <c r="V13" s="299" t="s">
        <v>482</v>
      </c>
      <c r="W13" s="290" t="s">
        <v>53</v>
      </c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ht="18" customHeight="1" x14ac:dyDescent="0.25">
      <c r="A14" s="697"/>
      <c r="B14" s="698"/>
      <c r="C14" s="703"/>
      <c r="D14" s="703"/>
      <c r="E14" s="703"/>
      <c r="F14" s="154" t="s">
        <v>453</v>
      </c>
      <c r="G14" s="152" t="s">
        <v>454</v>
      </c>
      <c r="H14" s="151" t="s">
        <v>455</v>
      </c>
      <c r="I14" s="153" t="s">
        <v>446</v>
      </c>
      <c r="J14" s="154" t="s">
        <v>456</v>
      </c>
      <c r="K14" s="152" t="s">
        <v>457</v>
      </c>
      <c r="L14" s="36"/>
      <c r="M14" s="691" t="s">
        <v>1231</v>
      </c>
      <c r="N14" s="692"/>
      <c r="O14" s="290">
        <v>2</v>
      </c>
      <c r="P14" s="290">
        <v>2</v>
      </c>
      <c r="Q14" s="290">
        <v>2</v>
      </c>
      <c r="R14" s="290">
        <v>2</v>
      </c>
      <c r="S14" s="290">
        <v>2</v>
      </c>
      <c r="T14" s="290">
        <v>2</v>
      </c>
      <c r="U14" s="290">
        <v>2</v>
      </c>
      <c r="V14" s="290">
        <v>1</v>
      </c>
      <c r="W14" s="290">
        <v>2</v>
      </c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</row>
    <row r="15" spans="1:43" ht="18" customHeight="1" x14ac:dyDescent="0.25">
      <c r="A15" s="542" t="s">
        <v>248</v>
      </c>
      <c r="B15" s="542"/>
      <c r="C15" s="101"/>
      <c r="D15" s="101"/>
      <c r="E15" s="101"/>
      <c r="F15" s="101"/>
      <c r="G15" s="135"/>
      <c r="H15" s="134"/>
      <c r="I15" s="135"/>
      <c r="J15" s="134"/>
      <c r="K15" s="135"/>
      <c r="L15" s="36"/>
      <c r="M15" s="691" t="s">
        <v>449</v>
      </c>
      <c r="N15" s="692"/>
      <c r="O15" s="290">
        <v>1</v>
      </c>
      <c r="P15" s="290">
        <v>1</v>
      </c>
      <c r="Q15" s="290">
        <v>1</v>
      </c>
      <c r="R15" s="290">
        <v>1</v>
      </c>
      <c r="S15" s="290">
        <v>1</v>
      </c>
      <c r="T15" s="290">
        <v>1</v>
      </c>
      <c r="U15" s="290">
        <v>1</v>
      </c>
      <c r="V15" s="290">
        <v>1</v>
      </c>
      <c r="W15" s="290">
        <v>1</v>
      </c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 ht="18" customHeight="1" x14ac:dyDescent="0.25">
      <c r="A16" s="542" t="s">
        <v>247</v>
      </c>
      <c r="B16" s="542"/>
      <c r="C16" s="142" t="str">
        <f>IF(AND(General!$D$44&gt;=0,Feats!Q32=1),"Yes","No")</f>
        <v>No</v>
      </c>
      <c r="D16" s="136" t="str">
        <f>IF(AND(General!$D$44&gt;=1,Feats!Q32=1),"Yes","No")</f>
        <v>No</v>
      </c>
      <c r="E16" s="136" t="str">
        <f>IF(AND(General!$D$44&gt;=2,Feats!Q32=1),"Yes","No")</f>
        <v>No</v>
      </c>
      <c r="F16" s="136" t="str">
        <f>IF(AND(General!$D$44&gt;=3,Feats!Q32=1),"Yes","No")</f>
        <v>No</v>
      </c>
      <c r="G16" s="136" t="str">
        <f>IF(AND(General!$D$44&gt;=3,Feats!Q32=1),"Yes","No")</f>
        <v>No</v>
      </c>
      <c r="H16" s="136" t="str">
        <f>IF(AND(General!$D$44&gt;=4,Feats!Q32=1),"Yes","No")</f>
        <v>No</v>
      </c>
      <c r="I16" s="136" t="str">
        <f>IF(AND(General!$D$44&gt;=4,Feats!Q32=1),"Yes","No")</f>
        <v>No</v>
      </c>
      <c r="J16" s="136" t="str">
        <f>IF(AND(General!$D$44&gt;=5,Feats!Q32=1),"Yes","No")</f>
        <v>No</v>
      </c>
      <c r="K16" s="142" t="str">
        <f>IF(AND(General!$D$44&gt;=5,Feats!Q32=1),"Yes","No")</f>
        <v>No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</row>
    <row r="17" spans="1:43" ht="18" customHeight="1" x14ac:dyDescent="0.25">
      <c r="A17" s="691" t="s">
        <v>436</v>
      </c>
      <c r="B17" s="692"/>
      <c r="C17" s="142">
        <f>IF(General!$N$14&gt;0,General!$N$14+1,1)</f>
        <v>1</v>
      </c>
      <c r="D17" s="360">
        <f>IF(General!$N$14&gt;0,General!$N$14+1,1)</f>
        <v>1</v>
      </c>
      <c r="E17" s="360">
        <f>IF(General!$N$14&gt;0,General!$N$14+1,1)</f>
        <v>1</v>
      </c>
      <c r="F17" s="360">
        <f>IF(General!$N$14&gt;0,General!$N$14+1,1)</f>
        <v>1</v>
      </c>
      <c r="G17" s="360">
        <f>IF(General!$N$14&gt;0,General!$N$14+1,1)</f>
        <v>1</v>
      </c>
      <c r="H17" s="360">
        <f>IF(General!$N$14&gt;0,General!$N$14+1,1)</f>
        <v>1</v>
      </c>
      <c r="I17" s="360">
        <f>IF(General!$N$14&gt;0,General!$N$14+1,1)</f>
        <v>1</v>
      </c>
      <c r="J17" s="360">
        <f>IF(General!$N$14&gt;0,General!$N$14+1,1)</f>
        <v>1</v>
      </c>
      <c r="K17" s="360">
        <f>IF(General!$N$14&gt;0,General!$N$14+1,1)</f>
        <v>1</v>
      </c>
      <c r="L17" s="36"/>
      <c r="M17" s="695" t="s">
        <v>1048</v>
      </c>
      <c r="N17" s="696"/>
      <c r="O17" s="701" t="s">
        <v>437</v>
      </c>
      <c r="P17" s="701" t="s">
        <v>439</v>
      </c>
      <c r="Q17" s="701" t="s">
        <v>438</v>
      </c>
      <c r="R17" s="691" t="s">
        <v>440</v>
      </c>
      <c r="S17" s="692"/>
      <c r="T17" s="691" t="s">
        <v>441</v>
      </c>
      <c r="U17" s="692"/>
      <c r="V17" s="691" t="s">
        <v>442</v>
      </c>
      <c r="W17" s="692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</row>
    <row r="18" spans="1:43" ht="18" customHeight="1" x14ac:dyDescent="0.25">
      <c r="A18" s="691" t="s">
        <v>458</v>
      </c>
      <c r="B18" s="692"/>
      <c r="C18" s="136">
        <v>1</v>
      </c>
      <c r="D18" s="136">
        <v>1</v>
      </c>
      <c r="E18" s="136">
        <v>2</v>
      </c>
      <c r="F18" s="142" t="s">
        <v>53</v>
      </c>
      <c r="G18" s="142" t="s">
        <v>53</v>
      </c>
      <c r="H18" s="156" t="s">
        <v>450</v>
      </c>
      <c r="I18" s="142" t="s">
        <v>53</v>
      </c>
      <c r="J18" s="142" t="s">
        <v>53</v>
      </c>
      <c r="K18" s="155" t="s">
        <v>450</v>
      </c>
      <c r="L18" s="36"/>
      <c r="M18" s="697"/>
      <c r="N18" s="698"/>
      <c r="O18" s="703"/>
      <c r="P18" s="703"/>
      <c r="Q18" s="703"/>
      <c r="R18" s="154" t="s">
        <v>467</v>
      </c>
      <c r="S18" s="152" t="s">
        <v>1049</v>
      </c>
      <c r="T18" s="154" t="s">
        <v>1050</v>
      </c>
      <c r="U18" s="152" t="s">
        <v>1051</v>
      </c>
      <c r="V18" s="154" t="s">
        <v>469</v>
      </c>
      <c r="W18" s="152" t="s">
        <v>1052</v>
      </c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</row>
    <row r="19" spans="1:43" ht="18" customHeight="1" x14ac:dyDescent="0.25">
      <c r="A19" s="542" t="s">
        <v>249</v>
      </c>
      <c r="B19" s="542"/>
      <c r="C19" s="142">
        <v>2</v>
      </c>
      <c r="D19" s="136">
        <v>2</v>
      </c>
      <c r="E19" s="136">
        <v>3</v>
      </c>
      <c r="F19" s="142" t="s">
        <v>53</v>
      </c>
      <c r="G19" s="142" t="s">
        <v>53</v>
      </c>
      <c r="H19" s="142" t="s">
        <v>53</v>
      </c>
      <c r="I19" s="155" t="s">
        <v>450</v>
      </c>
      <c r="J19" s="261" t="s">
        <v>1076</v>
      </c>
      <c r="K19" s="142" t="s">
        <v>53</v>
      </c>
      <c r="L19" s="36"/>
      <c r="M19" s="542" t="s">
        <v>248</v>
      </c>
      <c r="N19" s="542"/>
      <c r="O19" s="101"/>
      <c r="P19" s="258"/>
      <c r="Q19" s="258"/>
      <c r="R19" s="256"/>
      <c r="S19" s="259"/>
      <c r="T19" s="256"/>
      <c r="U19" s="259"/>
      <c r="V19" s="256"/>
      <c r="W19" s="259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</row>
    <row r="20" spans="1:43" ht="18" customHeight="1" x14ac:dyDescent="0.25">
      <c r="A20" s="691" t="s">
        <v>449</v>
      </c>
      <c r="B20" s="692"/>
      <c r="C20" s="142">
        <v>5</v>
      </c>
      <c r="D20" s="136">
        <v>4</v>
      </c>
      <c r="E20" s="136">
        <v>4</v>
      </c>
      <c r="F20" s="155" t="s">
        <v>459</v>
      </c>
      <c r="G20" s="142" t="s">
        <v>53</v>
      </c>
      <c r="H20" s="142" t="s">
        <v>53</v>
      </c>
      <c r="I20" s="142" t="s">
        <v>53</v>
      </c>
      <c r="J20" s="142" t="s">
        <v>53</v>
      </c>
      <c r="K20" s="142" t="s">
        <v>53</v>
      </c>
      <c r="L20" s="36"/>
      <c r="M20" s="542" t="s">
        <v>247</v>
      </c>
      <c r="N20" s="542"/>
      <c r="O20" s="255" t="str">
        <f>IF(AND(SUM(Skills!$G$56+Skills!$H$56)&gt;=7,SUM(Skills!$G$19+Skills!$H$19)&gt;=7),"Yes","No")</f>
        <v>No</v>
      </c>
      <c r="P20" s="255" t="str">
        <f>IF(AND(SUM(Skills!$G$56+Skills!$H$56)&gt;=9,SUM(Skills!$G$19+Skills!$H$19)&gt;=9),"Yes","No")</f>
        <v>No</v>
      </c>
      <c r="Q20" s="255" t="str">
        <f>IF(AND(SUM(Skills!$G$56+Skills!$H$56)&gt;=11,SUM(Skills!$G$19+Skills!$H$19)&gt;=11),"Yes","No")</f>
        <v>No</v>
      </c>
      <c r="R20" s="255" t="str">
        <f>IF(AND(SUM(Skills!$G$56+Skills!$H$56)&gt;=13,SUM(Skills!$G$19+Skills!$H$19)&gt;=13),"Yes","No")</f>
        <v>No</v>
      </c>
      <c r="S20" s="255" t="str">
        <f>IF(AND(SUM(Skills!$G$56+Skills!$H$56)&gt;=13,SUM(Skills!$G$19+Skills!$H$19)&gt;=13),"Yes","No")</f>
        <v>No</v>
      </c>
      <c r="T20" s="255" t="str">
        <f>IF(AND(SUM(Skills!$G$56+Skills!$H$56)&gt;=15,SUM(Skills!$G$19+Skills!$H$19)&gt;=15),"Yes","No")</f>
        <v>No</v>
      </c>
      <c r="U20" s="255" t="str">
        <f>IF(AND(SUM(Skills!$G$56+Skills!$H$56)&gt;=15,SUM(Skills!$G$19+Skills!$H$19)&gt;=15),"Yes","No")</f>
        <v>No</v>
      </c>
      <c r="V20" s="255" t="str">
        <f>IF(AND(SUM(Skills!$G$56+Skills!$H$56)&gt;=17,SUM(Skills!$G$19+Skills!$H$19)&gt;=17),"Yes","No")</f>
        <v>No</v>
      </c>
      <c r="W20" s="255" t="str">
        <f>IF(AND(SUM(Skills!$G$56+Skills!$H$56)&gt;=17,SUM(Skills!$G$19+Skills!$H$19)&gt;=17),"Yes","No")</f>
        <v>No</v>
      </c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</row>
    <row r="21" spans="1:43" ht="18" customHeight="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691" t="s">
        <v>467</v>
      </c>
      <c r="N21" s="692"/>
      <c r="O21" s="261" t="s">
        <v>522</v>
      </c>
      <c r="P21" s="261" t="s">
        <v>522</v>
      </c>
      <c r="Q21" s="261" t="s">
        <v>528</v>
      </c>
      <c r="R21" s="155" t="s">
        <v>470</v>
      </c>
      <c r="S21" s="261" t="s">
        <v>53</v>
      </c>
      <c r="T21" s="261" t="s">
        <v>53</v>
      </c>
      <c r="U21" s="261" t="s">
        <v>1076</v>
      </c>
      <c r="V21" s="261" t="s">
        <v>1076</v>
      </c>
      <c r="W21" s="261" t="s">
        <v>1076</v>
      </c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</row>
    <row r="22" spans="1:43" ht="18" customHeight="1" x14ac:dyDescent="0.25">
      <c r="A22" s="695" t="s">
        <v>1024</v>
      </c>
      <c r="B22" s="696"/>
      <c r="C22" s="701" t="s">
        <v>437</v>
      </c>
      <c r="D22" s="701" t="s">
        <v>439</v>
      </c>
      <c r="E22" s="701" t="s">
        <v>438</v>
      </c>
      <c r="F22" s="691" t="s">
        <v>440</v>
      </c>
      <c r="G22" s="692"/>
      <c r="H22" s="691" t="s">
        <v>441</v>
      </c>
      <c r="I22" s="692"/>
      <c r="J22" s="691" t="s">
        <v>442</v>
      </c>
      <c r="K22" s="692"/>
      <c r="L22" s="36"/>
      <c r="M22" s="691" t="s">
        <v>471</v>
      </c>
      <c r="N22" s="692"/>
      <c r="O22" s="261" t="s">
        <v>250</v>
      </c>
      <c r="P22" s="261" t="s">
        <v>250</v>
      </c>
      <c r="Q22" s="261" t="s">
        <v>250</v>
      </c>
      <c r="R22" s="261" t="s">
        <v>53</v>
      </c>
      <c r="S22" s="155" t="s">
        <v>482</v>
      </c>
      <c r="T22" s="261" t="s">
        <v>53</v>
      </c>
      <c r="U22" s="261" t="s">
        <v>53</v>
      </c>
      <c r="V22" s="261" t="s">
        <v>53</v>
      </c>
      <c r="W22" s="261" t="s">
        <v>53</v>
      </c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ht="18" customHeight="1" x14ac:dyDescent="0.25">
      <c r="A23" s="697"/>
      <c r="B23" s="698"/>
      <c r="C23" s="703"/>
      <c r="D23" s="703"/>
      <c r="E23" s="703"/>
      <c r="F23" s="154" t="s">
        <v>467</v>
      </c>
      <c r="G23" s="152" t="s">
        <v>466</v>
      </c>
      <c r="H23" s="154" t="s">
        <v>478</v>
      </c>
      <c r="I23" s="152" t="s">
        <v>1027</v>
      </c>
      <c r="J23" s="154" t="s">
        <v>524</v>
      </c>
      <c r="K23" s="152" t="s">
        <v>525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ht="18" customHeight="1" x14ac:dyDescent="0.25">
      <c r="A24" s="542" t="s">
        <v>248</v>
      </c>
      <c r="B24" s="542"/>
      <c r="C24" s="101"/>
      <c r="D24" s="258"/>
      <c r="E24" s="258"/>
      <c r="F24" s="256"/>
      <c r="G24" s="259"/>
      <c r="H24" s="256"/>
      <c r="I24" s="259"/>
      <c r="J24" s="256"/>
      <c r="K24" s="259"/>
      <c r="L24" s="36"/>
      <c r="M24" s="695" t="s">
        <v>508</v>
      </c>
      <c r="N24" s="696"/>
      <c r="O24" s="701" t="s">
        <v>437</v>
      </c>
      <c r="P24" s="701" t="s">
        <v>439</v>
      </c>
      <c r="Q24" s="701" t="s">
        <v>438</v>
      </c>
      <c r="R24" s="691" t="s">
        <v>440</v>
      </c>
      <c r="S24" s="692"/>
      <c r="T24" s="691" t="s">
        <v>441</v>
      </c>
      <c r="U24" s="692"/>
      <c r="V24" s="691" t="s">
        <v>442</v>
      </c>
      <c r="W24" s="692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</row>
    <row r="25" spans="1:43" ht="18" customHeight="1" x14ac:dyDescent="0.25">
      <c r="A25" s="542" t="s">
        <v>247</v>
      </c>
      <c r="B25" s="542"/>
      <c r="C25" s="255" t="str">
        <f>IF(AND(SUM(Skills!$G$56+Skills!$H$56)&gt;=2,SUM(Skills!$G$19+Skills!$H$19)&gt;=2),"Yes","No")</f>
        <v>No</v>
      </c>
      <c r="D25" s="255" t="str">
        <f>IF(AND(SUM(Skills!$G$56+Skills!$H$56)&gt;=4,SUM(Skills!$G$19+Skills!$H$19)&gt;=4),"Yes","No")</f>
        <v>No</v>
      </c>
      <c r="E25" s="255" t="str">
        <f>IF(AND(SUM(Skills!$G$56+Skills!$H$56)&gt;=6,SUM(Skills!$G$19+Skills!$H$19)&gt;=6),"Yes","No")</f>
        <v>No</v>
      </c>
      <c r="F25" s="255" t="str">
        <f>IF(AND(SUM(Skills!$G$56+Skills!$H$56)&gt;=8,SUM(Skills!$G$19+Skills!$H$19)&gt;=8),"Yes","No")</f>
        <v>No</v>
      </c>
      <c r="G25" s="255" t="str">
        <f>IF(AND(SUM(Skills!$G$56+Skills!$H$56)&gt;=8,SUM(Skills!$G$19+Skills!$H$19)&gt;=8),"Yes","No")</f>
        <v>No</v>
      </c>
      <c r="H25" s="255" t="str">
        <f>IF(AND(SUM(Skills!$G$56+Skills!$H$56)&gt;=10,SUM(Skills!$G$19+Skills!$H$19)&gt;=10),"Yes","No")</f>
        <v>No</v>
      </c>
      <c r="I25" s="255" t="str">
        <f>IF(AND(SUM(Skills!$G$56+Skills!$H$56)&gt;=10,SUM(Skills!$G$19+Skills!$H$19)&gt;=10),"Yes","No")</f>
        <v>No</v>
      </c>
      <c r="J25" s="255" t="str">
        <f>IF(AND(SUM(Skills!$G$56+Skills!$H$56)&gt;=12,SUM(Skills!$G$19+Skills!$H$19)&gt;=12),"Yes","No")</f>
        <v>No</v>
      </c>
      <c r="K25" s="255" t="str">
        <f>IF(AND(SUM(Skills!$G$56+Skills!$H$56)&gt;=12,SUM(Skills!$G$19+Skills!$H$19)&gt;=12),"Yes","No")</f>
        <v>No</v>
      </c>
      <c r="L25" s="36"/>
      <c r="M25" s="697"/>
      <c r="N25" s="698"/>
      <c r="O25" s="703"/>
      <c r="P25" s="703"/>
      <c r="Q25" s="703"/>
      <c r="R25" s="154" t="s">
        <v>467</v>
      </c>
      <c r="S25" s="152" t="s">
        <v>466</v>
      </c>
      <c r="T25" s="154" t="s">
        <v>478</v>
      </c>
      <c r="U25" s="152" t="s">
        <v>511</v>
      </c>
      <c r="V25" s="154" t="s">
        <v>469</v>
      </c>
      <c r="W25" s="152" t="s">
        <v>512</v>
      </c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</row>
    <row r="26" spans="1:43" ht="18" customHeight="1" x14ac:dyDescent="0.25">
      <c r="A26" s="691" t="s">
        <v>474</v>
      </c>
      <c r="B26" s="692"/>
      <c r="C26" s="255">
        <f>12+ROUNDDOWN((Skills!$G$19+Skills!$H$19)/2,0)</f>
        <v>12</v>
      </c>
      <c r="D26" s="255">
        <f>12+ROUNDDOWN((Skills!$G$19+Skills!$H$19)/2,0)</f>
        <v>12</v>
      </c>
      <c r="E26" s="255">
        <f>12+ROUNDDOWN((Skills!$G$19+Skills!$H$19)/2,0)</f>
        <v>12</v>
      </c>
      <c r="F26" s="255">
        <f>12+ROUNDDOWN((Skills!$G$19+Skills!$H$19)/2,0)</f>
        <v>12</v>
      </c>
      <c r="G26" s="255">
        <f>12+ROUNDDOWN((Skills!$G$19+Skills!$H$19)/2,0)</f>
        <v>12</v>
      </c>
      <c r="H26" s="255">
        <f>12+ROUNDDOWN((Skills!$G$19+Skills!$H$19)/2,0)</f>
        <v>12</v>
      </c>
      <c r="I26" s="255">
        <f>12+ROUNDDOWN((Skills!$G$19+Skills!$H$19)/2,0)</f>
        <v>12</v>
      </c>
      <c r="J26" s="255">
        <f>12+ROUNDDOWN((Skills!$G$19+Skills!$H$19)/2,0)</f>
        <v>12</v>
      </c>
      <c r="K26" s="255">
        <f>12+ROUNDDOWN((Skills!$G$19+Skills!$H$19)/2,0)</f>
        <v>12</v>
      </c>
      <c r="L26" s="36"/>
      <c r="M26" s="542" t="s">
        <v>248</v>
      </c>
      <c r="N26" s="542"/>
      <c r="O26" s="101"/>
      <c r="P26" s="158"/>
      <c r="Q26" s="158"/>
      <c r="R26" s="157"/>
      <c r="S26" s="159"/>
      <c r="T26" s="157"/>
      <c r="U26" s="159"/>
      <c r="V26" s="157"/>
      <c r="W26" s="159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1:43" ht="18" customHeight="1" x14ac:dyDescent="0.25">
      <c r="A27" s="691" t="s">
        <v>1025</v>
      </c>
      <c r="B27" s="692"/>
      <c r="C27" s="255" t="s">
        <v>509</v>
      </c>
      <c r="D27" s="255" t="s">
        <v>53</v>
      </c>
      <c r="E27" s="255" t="s">
        <v>509</v>
      </c>
      <c r="F27" s="155" t="s">
        <v>470</v>
      </c>
      <c r="G27" s="255" t="s">
        <v>53</v>
      </c>
      <c r="H27" s="255" t="s">
        <v>53</v>
      </c>
      <c r="I27" s="261" t="s">
        <v>1076</v>
      </c>
      <c r="J27" s="261" t="s">
        <v>1076</v>
      </c>
      <c r="K27" s="255" t="s">
        <v>53</v>
      </c>
      <c r="L27" s="36"/>
      <c r="M27" s="542" t="s">
        <v>247</v>
      </c>
      <c r="N27" s="542"/>
      <c r="O27" s="161" t="str">
        <f>IF(SUM(Skills!$G$56+Skills!$H$56)&gt;=2,"Yes","No")</f>
        <v>No</v>
      </c>
      <c r="P27" s="160" t="str">
        <f>IF(SUM(Skills!$G$56+Skills!$H$56)&gt;=4,"Yes","No")</f>
        <v>No</v>
      </c>
      <c r="Q27" s="160" t="str">
        <f>IF(SUM(Skills!$G$56+Skills!$H$56)&gt;=6,"Yes","No")</f>
        <v>No</v>
      </c>
      <c r="R27" s="160" t="str">
        <f>IF(SUM(Skills!$G$56+Skills!$H$56)&gt;=8,"Yes","No")</f>
        <v>No</v>
      </c>
      <c r="S27" s="160" t="str">
        <f>IF(SUM(Skills!$G$56+Skills!$H$56)&gt;=8,"Yes","No")</f>
        <v>No</v>
      </c>
      <c r="T27" s="160" t="str">
        <f>IF(SUM(Skills!$G$56+Skills!$H$56)&gt;=10,"Yes","No")</f>
        <v>No</v>
      </c>
      <c r="U27" s="160" t="str">
        <f>IF(SUM(Skills!$G$56+Skills!$H$56)&gt;=10,"Yes","No")</f>
        <v>No</v>
      </c>
      <c r="V27" s="160" t="str">
        <f>IF(SUM(Skills!$G$56+Skills!$H$56)&gt;=12,"Yes","No")</f>
        <v>No</v>
      </c>
      <c r="W27" s="161" t="str">
        <f>IF(SUM(Skills!$G$56+Skills!$H$56)&gt;=12,"Yes","No")</f>
        <v>No</v>
      </c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43" ht="18" customHeight="1" x14ac:dyDescent="0.25">
      <c r="A28" s="691" t="s">
        <v>1026</v>
      </c>
      <c r="B28" s="692"/>
      <c r="C28" s="257" t="s">
        <v>477</v>
      </c>
      <c r="D28" s="255" t="s">
        <v>53</v>
      </c>
      <c r="E28" s="257" t="s">
        <v>522</v>
      </c>
      <c r="F28" s="155" t="s">
        <v>470</v>
      </c>
      <c r="G28" s="255" t="s">
        <v>53</v>
      </c>
      <c r="H28" s="255" t="s">
        <v>53</v>
      </c>
      <c r="I28" s="261" t="s">
        <v>1076</v>
      </c>
      <c r="J28" s="255" t="s">
        <v>53</v>
      </c>
      <c r="K28" s="255" t="s">
        <v>1028</v>
      </c>
      <c r="L28" s="36"/>
      <c r="M28" s="691" t="s">
        <v>463</v>
      </c>
      <c r="N28" s="692"/>
      <c r="O28" s="161" t="s">
        <v>509</v>
      </c>
      <c r="P28" s="161" t="s">
        <v>53</v>
      </c>
      <c r="Q28" s="161" t="s">
        <v>510</v>
      </c>
      <c r="R28" s="155" t="s">
        <v>470</v>
      </c>
      <c r="S28" s="161" t="s">
        <v>53</v>
      </c>
      <c r="T28" s="161" t="s">
        <v>53</v>
      </c>
      <c r="U28" s="155" t="s">
        <v>470</v>
      </c>
      <c r="V28" s="261" t="s">
        <v>1076</v>
      </c>
      <c r="W28" s="161" t="s">
        <v>53</v>
      </c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</row>
    <row r="29" spans="1:43" x14ac:dyDescent="0.25">
      <c r="A29" s="542" t="s">
        <v>471</v>
      </c>
      <c r="B29" s="542"/>
      <c r="C29" s="257">
        <v>25</v>
      </c>
      <c r="D29" s="255" t="s">
        <v>53</v>
      </c>
      <c r="E29" s="257">
        <v>25</v>
      </c>
      <c r="F29" s="255" t="s">
        <v>53</v>
      </c>
      <c r="G29" s="155" t="s">
        <v>482</v>
      </c>
      <c r="H29" s="255" t="s">
        <v>53</v>
      </c>
      <c r="I29" s="255" t="s">
        <v>53</v>
      </c>
      <c r="J29" s="255" t="s">
        <v>53</v>
      </c>
      <c r="K29" s="255" t="s">
        <v>53</v>
      </c>
      <c r="L29" s="36"/>
      <c r="M29" s="542" t="s">
        <v>471</v>
      </c>
      <c r="N29" s="542"/>
      <c r="O29" s="160">
        <v>15</v>
      </c>
      <c r="P29" s="161" t="s">
        <v>53</v>
      </c>
      <c r="Q29" s="160">
        <v>15</v>
      </c>
      <c r="R29" s="161" t="s">
        <v>53</v>
      </c>
      <c r="S29" s="155" t="s">
        <v>482</v>
      </c>
      <c r="T29" s="161" t="s">
        <v>53</v>
      </c>
      <c r="U29" s="161" t="s">
        <v>53</v>
      </c>
      <c r="V29" s="161" t="s">
        <v>53</v>
      </c>
      <c r="W29" s="155" t="s">
        <v>482</v>
      </c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</row>
    <row r="30" spans="1:43" ht="18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542" t="s">
        <v>249</v>
      </c>
      <c r="N30" s="542"/>
      <c r="O30" s="161">
        <v>3</v>
      </c>
      <c r="P30" s="161" t="s">
        <v>53</v>
      </c>
      <c r="Q30" s="161">
        <v>3</v>
      </c>
      <c r="R30" s="161" t="s">
        <v>53</v>
      </c>
      <c r="S30" s="161" t="s">
        <v>53</v>
      </c>
      <c r="T30" s="161" t="s">
        <v>53</v>
      </c>
      <c r="U30" s="161" t="s">
        <v>53</v>
      </c>
      <c r="V30" s="161" t="s">
        <v>53</v>
      </c>
      <c r="W30" s="155" t="s">
        <v>450</v>
      </c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ht="18" customHeight="1" x14ac:dyDescent="0.25">
      <c r="A31" s="695" t="s">
        <v>1029</v>
      </c>
      <c r="B31" s="696"/>
      <c r="C31" s="701" t="s">
        <v>437</v>
      </c>
      <c r="D31" s="701" t="s">
        <v>439</v>
      </c>
      <c r="E31" s="701" t="s">
        <v>438</v>
      </c>
      <c r="F31" s="691" t="s">
        <v>440</v>
      </c>
      <c r="G31" s="692"/>
      <c r="H31" s="691" t="s">
        <v>441</v>
      </c>
      <c r="I31" s="692"/>
      <c r="J31" s="691" t="s">
        <v>442</v>
      </c>
      <c r="K31" s="692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ht="30" customHeight="1" x14ac:dyDescent="0.25">
      <c r="A32" s="697"/>
      <c r="B32" s="698"/>
      <c r="C32" s="703"/>
      <c r="D32" s="703"/>
      <c r="E32" s="703"/>
      <c r="F32" s="154" t="s">
        <v>467</v>
      </c>
      <c r="G32" s="152" t="s">
        <v>1030</v>
      </c>
      <c r="H32" s="154" t="s">
        <v>1031</v>
      </c>
      <c r="I32" s="152" t="s">
        <v>511</v>
      </c>
      <c r="J32" s="154" t="s">
        <v>1032</v>
      </c>
      <c r="K32" s="152" t="s">
        <v>1033</v>
      </c>
      <c r="L32" s="36"/>
      <c r="M32" s="695" t="s">
        <v>762</v>
      </c>
      <c r="N32" s="696"/>
      <c r="O32" s="701" t="s">
        <v>437</v>
      </c>
      <c r="P32" s="701" t="s">
        <v>439</v>
      </c>
      <c r="Q32" s="701" t="s">
        <v>438</v>
      </c>
      <c r="R32" s="691" t="s">
        <v>440</v>
      </c>
      <c r="S32" s="692"/>
      <c r="T32" s="691" t="s">
        <v>441</v>
      </c>
      <c r="U32" s="692"/>
      <c r="V32" s="691" t="s">
        <v>442</v>
      </c>
      <c r="W32" s="692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</row>
    <row r="33" spans="1:43" ht="18" customHeight="1" x14ac:dyDescent="0.25">
      <c r="A33" s="542" t="s">
        <v>248</v>
      </c>
      <c r="B33" s="542"/>
      <c r="C33" s="101"/>
      <c r="D33" s="258"/>
      <c r="E33" s="258"/>
      <c r="F33" s="256"/>
      <c r="G33" s="259"/>
      <c r="H33" s="256"/>
      <c r="I33" s="259"/>
      <c r="J33" s="256"/>
      <c r="K33" s="259"/>
      <c r="L33" s="36"/>
      <c r="M33" s="697"/>
      <c r="N33" s="698"/>
      <c r="O33" s="703"/>
      <c r="P33" s="703"/>
      <c r="Q33" s="703"/>
      <c r="R33" s="154" t="s">
        <v>467</v>
      </c>
      <c r="S33" s="152" t="s">
        <v>466</v>
      </c>
      <c r="T33" s="154" t="s">
        <v>1049</v>
      </c>
      <c r="U33" s="152" t="s">
        <v>446</v>
      </c>
      <c r="V33" s="154" t="s">
        <v>513</v>
      </c>
      <c r="W33" s="152" t="s">
        <v>481</v>
      </c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</row>
    <row r="34" spans="1:43" ht="18" customHeight="1" x14ac:dyDescent="0.25">
      <c r="A34" s="542" t="s">
        <v>247</v>
      </c>
      <c r="B34" s="542"/>
      <c r="C34" s="255" t="str">
        <f>IF(AND(SUM(Skills!$G$56+Skills!$H$56)&gt;=4,SUM(Skills!$G$36+Skills!$H$36)&gt;=3),"Yes","No")</f>
        <v>No</v>
      </c>
      <c r="D34" s="255" t="str">
        <f>IF(AND(SUM(Skills!$G$56+Skills!$H$56)&gt;=6,SUM(Skills!$G$36+Skills!$H$36)&gt;=5),"Yes","No")</f>
        <v>No</v>
      </c>
      <c r="E34" s="255" t="str">
        <f>IF(AND(SUM(Skills!$G$56+Skills!$H$56)&gt;=8,SUM(Skills!$G$36+Skills!$H$36)&gt;=7),"Yes","No")</f>
        <v>No</v>
      </c>
      <c r="F34" s="255" t="str">
        <f>IF(AND(SUM(Skills!$G$56+Skills!$H$56)&gt;=10,SUM(Skills!$G$36+Skills!$H$36)&gt;=9),"Yes","No")</f>
        <v>No</v>
      </c>
      <c r="G34" s="255" t="str">
        <f>IF(AND(SUM(Skills!$G$56+Skills!$H$56)&gt;=10,SUM(Skills!$G$36+Skills!$H$36)&gt;=9),"Yes","No")</f>
        <v>No</v>
      </c>
      <c r="H34" s="255" t="str">
        <f>IF(AND(SUM(Skills!$G$56+Skills!$H$56)&gt;=12,SUM(Skills!$G$36+Skills!$H$36)&gt;=11),"Yes","No")</f>
        <v>No</v>
      </c>
      <c r="I34" s="255" t="str">
        <f>IF(AND(SUM(Skills!$G$56+Skills!$H$56)&gt;=12,SUM(Skills!$G$36+Skills!$H$36)&gt;=11),"Yes","No")</f>
        <v>No</v>
      </c>
      <c r="J34" s="255" t="str">
        <f>IF(AND(SUM(Skills!$G$56+Skills!$H$56)&gt;=14,SUM(Skills!$G$36+Skills!$H$36)&gt;=13),"Yes","No")</f>
        <v>No</v>
      </c>
      <c r="K34" s="255" t="str">
        <f>IF(AND(SUM(Skills!$G$56+Skills!$H$56)&gt;=14,SUM(Skills!$G$36+Skills!$H$36)&gt;=13),"Yes","No")</f>
        <v>No</v>
      </c>
      <c r="L34" s="36"/>
      <c r="M34" s="691" t="s">
        <v>248</v>
      </c>
      <c r="N34" s="692"/>
      <c r="O34" s="101"/>
      <c r="P34" s="348"/>
      <c r="Q34" s="348"/>
      <c r="R34" s="347"/>
      <c r="S34" s="159"/>
      <c r="T34" s="157"/>
      <c r="U34" s="349"/>
      <c r="V34" s="157"/>
      <c r="W34" s="349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</row>
    <row r="35" spans="1:43" ht="18" customHeight="1" x14ac:dyDescent="0.25">
      <c r="A35" s="691" t="s">
        <v>436</v>
      </c>
      <c r="B35" s="692"/>
      <c r="C35" s="360">
        <f>IF(General!$N$14&gt;0,General!$N$14+1,1)</f>
        <v>1</v>
      </c>
      <c r="D35" s="360">
        <f>IF(General!$N$14&gt;0,General!$N$14+1,1)</f>
        <v>1</v>
      </c>
      <c r="E35" s="360">
        <f>IF(General!$N$14&gt;0,General!$N$14+1,1)</f>
        <v>1</v>
      </c>
      <c r="F35" s="360">
        <f>IF(General!$N$14&gt;0,General!$N$14+1,1)</f>
        <v>1</v>
      </c>
      <c r="G35" s="360">
        <f>IF(General!$N$14&gt;0,General!$N$14+1,1)</f>
        <v>1</v>
      </c>
      <c r="H35" s="360">
        <f>IF(General!$N$14&gt;0,General!$N$14+1,1)</f>
        <v>1</v>
      </c>
      <c r="I35" s="360">
        <f>IF(General!$N$14&gt;0,General!$N$14+1,1)</f>
        <v>1</v>
      </c>
      <c r="J35" s="360">
        <f>IF(General!$N$14&gt;0,General!$N$14+1,1)</f>
        <v>1</v>
      </c>
      <c r="K35" s="360">
        <f>IF(General!$N$14&gt;0,General!$N$14+1,1)</f>
        <v>1</v>
      </c>
      <c r="L35" s="36"/>
      <c r="M35" s="691" t="s">
        <v>247</v>
      </c>
      <c r="N35" s="692"/>
      <c r="O35" s="198" t="str">
        <f>IF('Biotic Powers'!$Q$39="Yes","Yes","No")</f>
        <v>No</v>
      </c>
      <c r="P35" s="198" t="str">
        <f>IF('Biotic Powers'!$Q$39="Yes","Yes","No")</f>
        <v>No</v>
      </c>
      <c r="Q35" s="198" t="str">
        <f>IF('Biotic Powers'!$Q$39="Yes","Yes","No")</f>
        <v>No</v>
      </c>
      <c r="R35" s="198" t="str">
        <f>IF('Biotic Powers'!$Q$39="Yes","Yes","No")</f>
        <v>No</v>
      </c>
      <c r="S35" s="198" t="str">
        <f>IF('Biotic Powers'!$Q$39="Yes","Yes","No")</f>
        <v>No</v>
      </c>
      <c r="T35" s="198" t="str">
        <f>IF('Biotic Powers'!$Q$39="Yes","Yes","No")</f>
        <v>No</v>
      </c>
      <c r="U35" s="198" t="str">
        <f>IF('Biotic Powers'!$Q$39="Yes","Yes","No")</f>
        <v>No</v>
      </c>
      <c r="V35" s="198" t="str">
        <f>IF('Biotic Powers'!$Q$39="Yes","Yes","No")</f>
        <v>No</v>
      </c>
      <c r="W35" s="198" t="str">
        <f>IF('Biotic Powers'!$Q$39="Yes","Yes","No")</f>
        <v>No</v>
      </c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ht="18" customHeight="1" x14ac:dyDescent="0.25">
      <c r="A36" s="691" t="s">
        <v>474</v>
      </c>
      <c r="B36" s="692"/>
      <c r="C36" s="255">
        <f>10+ROUNDDOWN((Skills!$G$56+Skills!$H$56)/2,0)+General!$N$14</f>
        <v>5</v>
      </c>
      <c r="D36" s="255">
        <f>10+ROUNDDOWN((Skills!$G$56+Skills!$H$56)/2,0)+General!$N$14</f>
        <v>5</v>
      </c>
      <c r="E36" s="255">
        <f>10+ROUNDDOWN((Skills!$G$56+Skills!$H$56)/2,0)+General!$N$14</f>
        <v>5</v>
      </c>
      <c r="F36" s="441" t="s">
        <v>53</v>
      </c>
      <c r="G36" s="441" t="s">
        <v>53</v>
      </c>
      <c r="H36" s="441" t="s">
        <v>53</v>
      </c>
      <c r="I36" s="441" t="s">
        <v>53</v>
      </c>
      <c r="J36" s="441" t="s">
        <v>53</v>
      </c>
      <c r="K36" s="451" t="s">
        <v>517</v>
      </c>
      <c r="L36" s="36"/>
      <c r="M36" s="691" t="s">
        <v>474</v>
      </c>
      <c r="N36" s="692"/>
      <c r="O36" s="161">
        <f>12+ROUNDDOWN((Skills!G11+Skills!H11)/2,0)</f>
        <v>12</v>
      </c>
      <c r="P36" s="161">
        <f>12+ROUNDDOWN((Skills!G11+Skills!H11)/2,0)</f>
        <v>12</v>
      </c>
      <c r="Q36" s="161">
        <f>12+ROUNDDOWN((Skills!G11+Skills!H11)/2,0)</f>
        <v>12</v>
      </c>
      <c r="R36" s="441" t="s">
        <v>53</v>
      </c>
      <c r="S36" s="441" t="s">
        <v>53</v>
      </c>
      <c r="T36" s="441" t="s">
        <v>53</v>
      </c>
      <c r="U36" s="441" t="s">
        <v>53</v>
      </c>
      <c r="V36" s="441" t="s">
        <v>53</v>
      </c>
      <c r="W36" s="451" t="s">
        <v>517</v>
      </c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</row>
    <row r="37" spans="1:43" ht="18" customHeight="1" x14ac:dyDescent="0.25">
      <c r="A37" s="691" t="s">
        <v>471</v>
      </c>
      <c r="B37" s="692"/>
      <c r="C37" s="255">
        <v>20</v>
      </c>
      <c r="D37" s="255">
        <v>20</v>
      </c>
      <c r="E37" s="255">
        <v>20</v>
      </c>
      <c r="F37" s="255" t="s">
        <v>53</v>
      </c>
      <c r="G37" s="155" t="s">
        <v>547</v>
      </c>
      <c r="H37" s="255" t="s">
        <v>53</v>
      </c>
      <c r="I37" s="255" t="s">
        <v>53</v>
      </c>
      <c r="J37" s="255" t="s">
        <v>53</v>
      </c>
      <c r="K37" s="255" t="s">
        <v>53</v>
      </c>
      <c r="L37" s="36"/>
      <c r="M37" s="691" t="s">
        <v>463</v>
      </c>
      <c r="N37" s="692"/>
      <c r="O37" s="160" t="s">
        <v>510</v>
      </c>
      <c r="P37" s="161" t="s">
        <v>53</v>
      </c>
      <c r="Q37" s="160" t="s">
        <v>475</v>
      </c>
      <c r="R37" s="155" t="s">
        <v>470</v>
      </c>
      <c r="S37" s="161" t="s">
        <v>53</v>
      </c>
      <c r="T37" s="161" t="s">
        <v>53</v>
      </c>
      <c r="U37" s="161" t="s">
        <v>53</v>
      </c>
      <c r="V37" s="161" t="s">
        <v>53</v>
      </c>
      <c r="W37" s="161" t="s">
        <v>53</v>
      </c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ht="18" customHeight="1" x14ac:dyDescent="0.25">
      <c r="A38" s="691" t="s">
        <v>583</v>
      </c>
      <c r="B38" s="692"/>
      <c r="C38" s="257">
        <v>20</v>
      </c>
      <c r="D38" s="255">
        <v>20</v>
      </c>
      <c r="E38" s="257">
        <v>20</v>
      </c>
      <c r="F38" s="255" t="s">
        <v>53</v>
      </c>
      <c r="G38" s="255" t="s">
        <v>53</v>
      </c>
      <c r="H38" s="155" t="s">
        <v>547</v>
      </c>
      <c r="I38" s="255" t="s">
        <v>53</v>
      </c>
      <c r="J38" s="255" t="s">
        <v>53</v>
      </c>
      <c r="K38" s="255" t="s">
        <v>53</v>
      </c>
      <c r="L38" s="36"/>
      <c r="M38" s="691" t="s">
        <v>471</v>
      </c>
      <c r="N38" s="692"/>
      <c r="O38" s="161">
        <v>15</v>
      </c>
      <c r="P38" s="161" t="s">
        <v>53</v>
      </c>
      <c r="Q38" s="161">
        <v>15</v>
      </c>
      <c r="R38" s="161" t="s">
        <v>53</v>
      </c>
      <c r="S38" s="155" t="s">
        <v>482</v>
      </c>
      <c r="T38" s="155" t="s">
        <v>482</v>
      </c>
      <c r="U38" s="161" t="s">
        <v>53</v>
      </c>
      <c r="V38" s="161" t="s">
        <v>53</v>
      </c>
      <c r="W38" s="161" t="s">
        <v>53</v>
      </c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 ht="18" customHeight="1" x14ac:dyDescent="0.25">
      <c r="A39" s="691" t="s">
        <v>467</v>
      </c>
      <c r="B39" s="692"/>
      <c r="C39" s="257" t="s">
        <v>522</v>
      </c>
      <c r="D39" s="255" t="s">
        <v>522</v>
      </c>
      <c r="E39" s="257" t="s">
        <v>528</v>
      </c>
      <c r="F39" s="155" t="s">
        <v>470</v>
      </c>
      <c r="G39" s="255" t="s">
        <v>53</v>
      </c>
      <c r="H39" s="255" t="s">
        <v>53</v>
      </c>
      <c r="I39" s="155" t="s">
        <v>470</v>
      </c>
      <c r="J39" s="155" t="s">
        <v>470</v>
      </c>
      <c r="K39" s="255" t="s">
        <v>53</v>
      </c>
      <c r="L39" s="36"/>
      <c r="M39" s="691" t="s">
        <v>476</v>
      </c>
      <c r="N39" s="692"/>
      <c r="O39" s="161">
        <v>10</v>
      </c>
      <c r="P39" s="161" t="s">
        <v>53</v>
      </c>
      <c r="Q39" s="160">
        <v>10</v>
      </c>
      <c r="R39" s="161" t="s">
        <v>53</v>
      </c>
      <c r="S39" s="161" t="s">
        <v>53</v>
      </c>
      <c r="T39" s="161" t="s">
        <v>53</v>
      </c>
      <c r="U39" s="161" t="s">
        <v>53</v>
      </c>
      <c r="V39" s="161" t="s">
        <v>53</v>
      </c>
      <c r="W39" s="161" t="s">
        <v>53</v>
      </c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</row>
    <row r="40" spans="1:43" ht="18" customHeight="1" x14ac:dyDescent="0.25">
      <c r="A40" s="542" t="s">
        <v>1034</v>
      </c>
      <c r="B40" s="542"/>
      <c r="C40" s="257">
        <v>3</v>
      </c>
      <c r="D40" s="255">
        <v>3</v>
      </c>
      <c r="E40" s="257">
        <v>3</v>
      </c>
      <c r="F40" s="255" t="s">
        <v>53</v>
      </c>
      <c r="G40" s="255" t="s">
        <v>53</v>
      </c>
      <c r="H40" s="255" t="s">
        <v>53</v>
      </c>
      <c r="I40" s="255" t="s">
        <v>53</v>
      </c>
      <c r="J40" s="155" t="s">
        <v>450</v>
      </c>
      <c r="K40" s="255" t="s">
        <v>53</v>
      </c>
      <c r="L40" s="36"/>
      <c r="M40" s="691" t="s">
        <v>249</v>
      </c>
      <c r="N40" s="692"/>
      <c r="O40" s="161">
        <v>1</v>
      </c>
      <c r="P40" s="161" t="s">
        <v>53</v>
      </c>
      <c r="Q40" s="160">
        <v>1</v>
      </c>
      <c r="R40" s="161" t="s">
        <v>53</v>
      </c>
      <c r="S40" s="161" t="s">
        <v>53</v>
      </c>
      <c r="T40" s="161" t="s">
        <v>53</v>
      </c>
      <c r="U40" s="155" t="s">
        <v>450</v>
      </c>
      <c r="V40" s="161" t="s">
        <v>53</v>
      </c>
      <c r="W40" s="161" t="s">
        <v>53</v>
      </c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</row>
    <row r="41" spans="1:43" x14ac:dyDescent="0.25">
      <c r="A41" s="542" t="s">
        <v>449</v>
      </c>
      <c r="B41" s="542"/>
      <c r="C41" s="257">
        <v>25</v>
      </c>
      <c r="D41" s="255" t="s">
        <v>53</v>
      </c>
      <c r="E41" s="257">
        <v>25</v>
      </c>
      <c r="F41" s="255" t="s">
        <v>53</v>
      </c>
      <c r="G41" s="255" t="s">
        <v>53</v>
      </c>
      <c r="H41" s="255" t="s">
        <v>53</v>
      </c>
      <c r="I41" s="255" t="s">
        <v>53</v>
      </c>
      <c r="J41" s="255" t="s">
        <v>53</v>
      </c>
      <c r="K41" s="255" t="s">
        <v>53</v>
      </c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</row>
    <row r="42" spans="1:43" ht="18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695" t="s">
        <v>514</v>
      </c>
      <c r="N42" s="696"/>
      <c r="O42" s="701" t="s">
        <v>437</v>
      </c>
      <c r="P42" s="701" t="s">
        <v>439</v>
      </c>
      <c r="Q42" s="701" t="s">
        <v>438</v>
      </c>
      <c r="R42" s="691" t="s">
        <v>440</v>
      </c>
      <c r="S42" s="692"/>
      <c r="T42" s="691" t="s">
        <v>441</v>
      </c>
      <c r="U42" s="692"/>
      <c r="V42" s="691" t="s">
        <v>442</v>
      </c>
      <c r="W42" s="692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 ht="18" customHeight="1" x14ac:dyDescent="0.25">
      <c r="A43" s="695" t="s">
        <v>1740</v>
      </c>
      <c r="B43" s="696"/>
      <c r="C43" s="701" t="s">
        <v>437</v>
      </c>
      <c r="D43" s="701" t="s">
        <v>439</v>
      </c>
      <c r="E43" s="701" t="s">
        <v>438</v>
      </c>
      <c r="F43" s="691" t="s">
        <v>440</v>
      </c>
      <c r="G43" s="692"/>
      <c r="H43" s="691" t="s">
        <v>441</v>
      </c>
      <c r="I43" s="692"/>
      <c r="J43" s="691" t="s">
        <v>442</v>
      </c>
      <c r="K43" s="692"/>
      <c r="L43" s="36"/>
      <c r="M43" s="697"/>
      <c r="N43" s="698"/>
      <c r="O43" s="703"/>
      <c r="P43" s="703"/>
      <c r="Q43" s="703"/>
      <c r="R43" s="154" t="s">
        <v>457</v>
      </c>
      <c r="S43" s="152" t="s">
        <v>520</v>
      </c>
      <c r="T43" s="151" t="s">
        <v>446</v>
      </c>
      <c r="U43" s="153" t="s">
        <v>518</v>
      </c>
      <c r="V43" s="154" t="s">
        <v>453</v>
      </c>
      <c r="W43" s="152" t="s">
        <v>519</v>
      </c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ht="30" x14ac:dyDescent="0.25">
      <c r="A44" s="697"/>
      <c r="B44" s="698"/>
      <c r="C44" s="703"/>
      <c r="D44" s="703"/>
      <c r="E44" s="703"/>
      <c r="F44" s="154" t="s">
        <v>446</v>
      </c>
      <c r="G44" s="152" t="s">
        <v>1723</v>
      </c>
      <c r="H44" s="154" t="s">
        <v>1724</v>
      </c>
      <c r="I44" s="152" t="s">
        <v>1725</v>
      </c>
      <c r="J44" s="154" t="s">
        <v>1726</v>
      </c>
      <c r="K44" s="152" t="s">
        <v>1727</v>
      </c>
      <c r="L44" s="36"/>
      <c r="M44" s="542" t="s">
        <v>248</v>
      </c>
      <c r="N44" s="542"/>
      <c r="O44" s="101"/>
      <c r="P44" s="348"/>
      <c r="Q44" s="348"/>
      <c r="R44" s="157"/>
      <c r="S44" s="349"/>
      <c r="T44" s="157"/>
      <c r="U44" s="349"/>
      <c r="V44" s="157"/>
      <c r="W44" s="349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</row>
    <row r="45" spans="1:43" ht="18" customHeight="1" x14ac:dyDescent="0.25">
      <c r="A45" s="542" t="s">
        <v>248</v>
      </c>
      <c r="B45" s="542"/>
      <c r="C45" s="101"/>
      <c r="D45" s="447"/>
      <c r="E45" s="447"/>
      <c r="F45" s="443"/>
      <c r="G45" s="448"/>
      <c r="H45" s="443"/>
      <c r="I45" s="448"/>
      <c r="J45" s="443"/>
      <c r="K45" s="448"/>
      <c r="L45" s="36"/>
      <c r="M45" s="542" t="s">
        <v>247</v>
      </c>
      <c r="N45" s="542"/>
      <c r="O45" s="161" t="str">
        <f>IF(AND(General!$D$44&gt;=0,Feats!Q28=1),"Yes","No")</f>
        <v>No</v>
      </c>
      <c r="P45" s="160" t="str">
        <f>IF(AND(General!$D$44&gt;=1,Feats!Q28=1),"Yes","No")</f>
        <v>No</v>
      </c>
      <c r="Q45" s="160" t="str">
        <f>IF(AND(General!$D$44&gt;=2,Feats!Q28=1),"Yes","No")</f>
        <v>No</v>
      </c>
      <c r="R45" s="160" t="str">
        <f>IF(AND(General!$D$44&gt;=3,Feats!Q28=1),"Yes","No")</f>
        <v>No</v>
      </c>
      <c r="S45" s="160" t="str">
        <f>IF(AND(General!$D$44&gt;=3,Feats!Q28=1),"Yes","No")</f>
        <v>No</v>
      </c>
      <c r="T45" s="160" t="str">
        <f>IF(AND(General!$D$44&gt;=4,Feats!Q28=1),"Yes","No")</f>
        <v>No</v>
      </c>
      <c r="U45" s="160" t="str">
        <f>IF(AND(General!$D$44&gt;=4,Feats!Q28=1),"Yes","No")</f>
        <v>No</v>
      </c>
      <c r="V45" s="160" t="str">
        <f>IF(AND(General!$D$44&gt;=5,Feats!Q28=1),"Yes","No")</f>
        <v>No</v>
      </c>
      <c r="W45" s="161" t="str">
        <f>IF(AND(General!$D$44&gt;=5,Feats!Q28=1),"Yes","No")</f>
        <v>No</v>
      </c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</row>
    <row r="46" spans="1:43" ht="18" customHeight="1" x14ac:dyDescent="0.25">
      <c r="A46" s="542" t="s">
        <v>247</v>
      </c>
      <c r="B46" s="542"/>
      <c r="C46" s="441" t="str">
        <f>IF(SUM(Skills!$G$19+Skills!$H$19)&gt;=6,"Yes","No")</f>
        <v>No</v>
      </c>
      <c r="D46" s="441" t="str">
        <f>IF(SUM(Skills!$G$19+Skills!$H$19)&gt;=8,"Yes","No")</f>
        <v>No</v>
      </c>
      <c r="E46" s="441" t="str">
        <f>IF(SUM(Skills!$G$19+Skills!$H$19)&gt;=10,"Yes","No")</f>
        <v>No</v>
      </c>
      <c r="F46" s="441" t="str">
        <f>IF(SUM(Skills!$G$19+Skills!$H$19)&gt;=12,"Yes","No")</f>
        <v>No</v>
      </c>
      <c r="G46" s="441" t="str">
        <f>IF(SUM(Skills!$G$19+Skills!$H$19)&gt;=12,"Yes","No")</f>
        <v>No</v>
      </c>
      <c r="H46" s="441" t="str">
        <f>IF(SUM(Skills!$G$19+Skills!$H$19)&gt;=14,"Yes","No")</f>
        <v>No</v>
      </c>
      <c r="I46" s="441" t="str">
        <f>IF(SUM(Skills!$G$19+Skills!$H$19)&gt;=14,"Yes","No")</f>
        <v>No</v>
      </c>
      <c r="J46" s="441" t="str">
        <f>IF(SUM(Skills!$G$19+Skills!$H$19)&gt;=16,"Yes","No")</f>
        <v>No</v>
      </c>
      <c r="K46" s="441" t="str">
        <f>IF(SUM(Skills!$G$19+Skills!$H$19)&gt;=16,"Yes","No")</f>
        <v>No</v>
      </c>
      <c r="L46" s="36"/>
      <c r="M46" s="691" t="s">
        <v>436</v>
      </c>
      <c r="N46" s="692"/>
      <c r="O46" s="360">
        <f>IF(General!$N$14&gt;0,General!$N$14+1,1)</f>
        <v>1</v>
      </c>
      <c r="P46" s="360">
        <f>IF(General!$N$14&gt;0,General!$N$14+1,1)</f>
        <v>1</v>
      </c>
      <c r="Q46" s="360">
        <f>IF(General!$N$14&gt;0,General!$N$14+1,1)</f>
        <v>1</v>
      </c>
      <c r="R46" s="360">
        <f>IF(General!$N$14&gt;0,General!$N$14+1,1)</f>
        <v>1</v>
      </c>
      <c r="S46" s="360">
        <f>IF(General!$N$14&gt;0,General!$N$14+1,1)</f>
        <v>1</v>
      </c>
      <c r="T46" s="360">
        <f>IF(General!$N$14&gt;0,General!$N$14+1,1)</f>
        <v>1</v>
      </c>
      <c r="U46" s="360">
        <f>IF(General!$N$14&gt;0,General!$N$14+1,1)</f>
        <v>1</v>
      </c>
      <c r="V46" s="360">
        <f>IF(General!$N$14&gt;0,General!$N$14+1,1)</f>
        <v>1</v>
      </c>
      <c r="W46" s="360">
        <f>IF(General!$N$14&gt;0,General!$N$14+1,1)</f>
        <v>1</v>
      </c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</row>
    <row r="47" spans="1:43" ht="18" customHeight="1" x14ac:dyDescent="0.25">
      <c r="A47" s="691" t="s">
        <v>1720</v>
      </c>
      <c r="B47" s="692"/>
      <c r="C47" s="441">
        <v>3</v>
      </c>
      <c r="D47" s="441">
        <v>3</v>
      </c>
      <c r="E47" s="441">
        <v>3</v>
      </c>
      <c r="F47" s="441" t="s">
        <v>53</v>
      </c>
      <c r="G47" s="441" t="s">
        <v>53</v>
      </c>
      <c r="H47" s="441" t="s">
        <v>53</v>
      </c>
      <c r="I47" s="441" t="s">
        <v>53</v>
      </c>
      <c r="J47" s="441" t="s">
        <v>53</v>
      </c>
      <c r="K47" s="441" t="s">
        <v>53</v>
      </c>
      <c r="L47" s="36"/>
      <c r="M47" s="691" t="s">
        <v>515</v>
      </c>
      <c r="N47" s="692"/>
      <c r="O47" s="161">
        <v>1</v>
      </c>
      <c r="P47" s="161">
        <v>1</v>
      </c>
      <c r="Q47" s="161">
        <v>1</v>
      </c>
      <c r="R47" s="161" t="s">
        <v>53</v>
      </c>
      <c r="S47" s="155" t="s">
        <v>450</v>
      </c>
      <c r="T47" s="161" t="s">
        <v>53</v>
      </c>
      <c r="U47" s="161" t="s">
        <v>53</v>
      </c>
      <c r="V47" s="161" t="s">
        <v>53</v>
      </c>
      <c r="W47" s="350" t="s">
        <v>450</v>
      </c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</row>
    <row r="48" spans="1:43" ht="18" customHeight="1" x14ac:dyDescent="0.25">
      <c r="A48" s="691" t="s">
        <v>1728</v>
      </c>
      <c r="B48" s="692"/>
      <c r="C48" s="441">
        <v>1</v>
      </c>
      <c r="D48" s="451" t="s">
        <v>1729</v>
      </c>
      <c r="E48" s="451" t="s">
        <v>1729</v>
      </c>
      <c r="F48" s="441" t="s">
        <v>53</v>
      </c>
      <c r="G48" s="451" t="s">
        <v>1730</v>
      </c>
      <c r="H48" s="441" t="s">
        <v>53</v>
      </c>
      <c r="I48" s="441" t="s">
        <v>53</v>
      </c>
      <c r="J48" s="441" t="s">
        <v>53</v>
      </c>
      <c r="K48" s="441" t="s">
        <v>53</v>
      </c>
      <c r="L48" s="36"/>
      <c r="M48" s="691" t="s">
        <v>516</v>
      </c>
      <c r="N48" s="692"/>
      <c r="O48" s="156">
        <v>2</v>
      </c>
      <c r="P48" s="156">
        <v>2</v>
      </c>
      <c r="Q48" s="156">
        <v>2</v>
      </c>
      <c r="R48" s="155" t="s">
        <v>517</v>
      </c>
      <c r="S48" s="161" t="s">
        <v>53</v>
      </c>
      <c r="T48" s="161" t="s">
        <v>53</v>
      </c>
      <c r="U48" s="161" t="s">
        <v>53</v>
      </c>
      <c r="V48" s="161" t="s">
        <v>53</v>
      </c>
      <c r="W48" s="161" t="s">
        <v>53</v>
      </c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 ht="18" customHeight="1" x14ac:dyDescent="0.25">
      <c r="A49" s="691" t="s">
        <v>1731</v>
      </c>
      <c r="B49" s="692"/>
      <c r="C49" s="441" t="s">
        <v>53</v>
      </c>
      <c r="D49" s="441" t="s">
        <v>53</v>
      </c>
      <c r="E49" s="441" t="s">
        <v>53</v>
      </c>
      <c r="F49" s="441" t="s">
        <v>53</v>
      </c>
      <c r="G49" s="441" t="s">
        <v>53</v>
      </c>
      <c r="H49" s="451" t="s">
        <v>450</v>
      </c>
      <c r="I49" s="441" t="s">
        <v>53</v>
      </c>
      <c r="J49" s="441" t="s">
        <v>53</v>
      </c>
      <c r="K49" s="441" t="s">
        <v>53</v>
      </c>
      <c r="L49" s="36"/>
      <c r="M49" s="691" t="s">
        <v>249</v>
      </c>
      <c r="N49" s="692"/>
      <c r="O49" s="161">
        <v>2</v>
      </c>
      <c r="P49" s="161">
        <v>2</v>
      </c>
      <c r="Q49" s="161">
        <v>3</v>
      </c>
      <c r="R49" s="161" t="s">
        <v>53</v>
      </c>
      <c r="S49" s="161" t="s">
        <v>53</v>
      </c>
      <c r="T49" s="155" t="s">
        <v>450</v>
      </c>
      <c r="U49" s="161" t="s">
        <v>53</v>
      </c>
      <c r="V49" s="161" t="s">
        <v>53</v>
      </c>
      <c r="W49" s="161" t="s">
        <v>53</v>
      </c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ht="18" customHeight="1" x14ac:dyDescent="0.25">
      <c r="A50" s="691" t="s">
        <v>1732</v>
      </c>
      <c r="B50" s="692"/>
      <c r="C50" s="441" t="s">
        <v>53</v>
      </c>
      <c r="D50" s="441" t="s">
        <v>53</v>
      </c>
      <c r="E50" s="441" t="s">
        <v>53</v>
      </c>
      <c r="F50" s="441" t="s">
        <v>53</v>
      </c>
      <c r="G50" s="441" t="s">
        <v>53</v>
      </c>
      <c r="H50" s="441" t="s">
        <v>53</v>
      </c>
      <c r="I50" s="451" t="s">
        <v>517</v>
      </c>
      <c r="J50" s="441" t="s">
        <v>53</v>
      </c>
      <c r="K50" s="441" t="s">
        <v>53</v>
      </c>
      <c r="L50" s="36"/>
      <c r="M50" s="691" t="s">
        <v>449</v>
      </c>
      <c r="N50" s="692"/>
      <c r="O50" s="161">
        <v>4</v>
      </c>
      <c r="P50" s="160">
        <v>3</v>
      </c>
      <c r="Q50" s="160">
        <v>3</v>
      </c>
      <c r="R50" s="161" t="s">
        <v>53</v>
      </c>
      <c r="S50" s="161" t="s">
        <v>53</v>
      </c>
      <c r="T50" s="161" t="s">
        <v>53</v>
      </c>
      <c r="U50" s="161" t="s">
        <v>53</v>
      </c>
      <c r="V50" s="155" t="s">
        <v>459</v>
      </c>
      <c r="W50" s="161" t="s">
        <v>53</v>
      </c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</row>
    <row r="51" spans="1:43" x14ac:dyDescent="0.25">
      <c r="A51" s="691" t="s">
        <v>249</v>
      </c>
      <c r="B51" s="692"/>
      <c r="C51" s="441">
        <v>4</v>
      </c>
      <c r="D51" s="451">
        <v>4</v>
      </c>
      <c r="E51" s="451">
        <v>5</v>
      </c>
      <c r="F51" s="441">
        <v>7</v>
      </c>
      <c r="G51" s="441" t="s">
        <v>53</v>
      </c>
      <c r="H51" s="441" t="s">
        <v>53</v>
      </c>
      <c r="I51" s="451" t="s">
        <v>517</v>
      </c>
      <c r="J51" s="441" t="s">
        <v>53</v>
      </c>
      <c r="K51" s="441" t="s">
        <v>53</v>
      </c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</row>
    <row r="52" spans="1:43" ht="18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695" t="s">
        <v>1070</v>
      </c>
      <c r="N52" s="696"/>
      <c r="O52" s="701" t="s">
        <v>437</v>
      </c>
      <c r="P52" s="701" t="s">
        <v>439</v>
      </c>
      <c r="Q52" s="701" t="s">
        <v>438</v>
      </c>
      <c r="R52" s="710" t="s">
        <v>440</v>
      </c>
      <c r="S52" s="711"/>
      <c r="T52" s="691" t="s">
        <v>441</v>
      </c>
      <c r="U52" s="692"/>
      <c r="V52" s="691" t="s">
        <v>442</v>
      </c>
      <c r="W52" s="692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</row>
    <row r="53" spans="1:43" ht="18" customHeight="1" x14ac:dyDescent="0.25">
      <c r="A53" s="695" t="s">
        <v>1075</v>
      </c>
      <c r="B53" s="696"/>
      <c r="C53" s="701" t="s">
        <v>437</v>
      </c>
      <c r="D53" s="701" t="s">
        <v>439</v>
      </c>
      <c r="E53" s="701" t="s">
        <v>438</v>
      </c>
      <c r="F53" s="691" t="s">
        <v>440</v>
      </c>
      <c r="G53" s="692"/>
      <c r="H53" s="691" t="s">
        <v>441</v>
      </c>
      <c r="I53" s="692"/>
      <c r="J53" s="691" t="s">
        <v>442</v>
      </c>
      <c r="K53" s="692"/>
      <c r="L53" s="36"/>
      <c r="M53" s="697"/>
      <c r="N53" s="698"/>
      <c r="O53" s="703"/>
      <c r="P53" s="703"/>
      <c r="Q53" s="703"/>
      <c r="R53" s="712"/>
      <c r="S53" s="713"/>
      <c r="T53" s="154" t="s">
        <v>1053</v>
      </c>
      <c r="U53" s="152" t="s">
        <v>1054</v>
      </c>
      <c r="V53" s="154" t="s">
        <v>1055</v>
      </c>
      <c r="W53" s="154" t="s">
        <v>1056</v>
      </c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</row>
    <row r="54" spans="1:43" ht="18" customHeight="1" x14ac:dyDescent="0.25">
      <c r="A54" s="697"/>
      <c r="B54" s="698"/>
      <c r="C54" s="703"/>
      <c r="D54" s="703"/>
      <c r="E54" s="703"/>
      <c r="F54" s="154" t="s">
        <v>501</v>
      </c>
      <c r="G54" s="152" t="s">
        <v>502</v>
      </c>
      <c r="H54" s="154" t="s">
        <v>503</v>
      </c>
      <c r="I54" s="152" t="s">
        <v>1036</v>
      </c>
      <c r="J54" s="154" t="s">
        <v>756</v>
      </c>
      <c r="K54" s="152" t="s">
        <v>501</v>
      </c>
      <c r="L54" s="36"/>
      <c r="M54" s="542" t="s">
        <v>248</v>
      </c>
      <c r="N54" s="542"/>
      <c r="O54" s="101"/>
      <c r="P54" s="348"/>
      <c r="Q54" s="348"/>
      <c r="R54" s="708"/>
      <c r="S54" s="709"/>
      <c r="T54" s="347"/>
      <c r="U54" s="267"/>
      <c r="V54" s="347"/>
      <c r="W54" s="267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</row>
    <row r="55" spans="1:43" ht="18" customHeight="1" x14ac:dyDescent="0.25">
      <c r="A55" s="542" t="s">
        <v>248</v>
      </c>
      <c r="B55" s="542"/>
      <c r="C55" s="101"/>
      <c r="D55" s="258"/>
      <c r="E55" s="258"/>
      <c r="F55" s="256"/>
      <c r="G55" s="259"/>
      <c r="H55" s="256"/>
      <c r="I55" s="259"/>
      <c r="J55" s="256"/>
      <c r="K55" s="259"/>
      <c r="L55" s="36"/>
      <c r="M55" s="542" t="s">
        <v>247</v>
      </c>
      <c r="N55" s="542"/>
      <c r="O55" s="261" t="str">
        <f>IF(AND(General!$D$44&gt;=0,General!$B$12&gt;=12,SUM(Skills!$G$40+Skills!$H$40)&gt;=1),"Yes","No")</f>
        <v>No</v>
      </c>
      <c r="P55" s="261" t="str">
        <f>IF(AND(General!$D$44&gt;=1,General!$B$12&gt;=12,SUM(Skills!$G$40+Skills!$H$40)&gt;=3),"Yes","No")</f>
        <v>No</v>
      </c>
      <c r="Q55" s="261" t="str">
        <f>IF(AND(General!$D$44&gt;=2,General!$B$12&gt;=12,SUM(Skills!$G$40+Skills!$H$40)&gt;=5),"Yes","No")</f>
        <v>No</v>
      </c>
      <c r="R55" s="469" t="str">
        <f>IF(AND(General!$D$44&gt;=3,General!$B$12&gt;=12,SUM(Skills!$G$40+Skills!$H$40)&gt;=7),"Yes","No")</f>
        <v>No</v>
      </c>
      <c r="S55" s="470"/>
      <c r="T55" s="261" t="str">
        <f>IF(AND(General!$D$44&gt;=4,General!$B$12&gt;=12,SUM(Skills!$G$40+Skills!$H$40)&gt;=9),"Yes","No")</f>
        <v>No</v>
      </c>
      <c r="U55" s="261" t="str">
        <f>IF(AND(General!$D$44&gt;=4,General!$B$12&gt;=12,SUM(Skills!$G$40+Skills!$H$40)&gt;=9),"Yes","No")</f>
        <v>No</v>
      </c>
      <c r="V55" s="261" t="str">
        <f>IF(AND(General!$D$44&gt;=5,General!$B$12&gt;=12,SUM(Skills!$G$40+Skills!$H$40)&gt;=11),"Yes","No")</f>
        <v>No</v>
      </c>
      <c r="W55" s="261" t="str">
        <f>IF(AND(General!$D$44&gt;=5,General!$B$12&gt;=12,SUM(Skills!$G$40+Skills!$H$40)&gt;=11),"Yes","No")</f>
        <v>No</v>
      </c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</row>
    <row r="56" spans="1:43" ht="18" customHeight="1" x14ac:dyDescent="0.25">
      <c r="A56" s="542" t="s">
        <v>247</v>
      </c>
      <c r="B56" s="542"/>
      <c r="C56" s="255" t="str">
        <f>IF(AND(SUM(Skills!$G$19+Skills!$H$19)&gt;=3,SUM(Skills!$G$56+Skills!$H$56)&gt;=4,SUM(Skills!$G$36+Skills!$H$36)&gt;=3),"Yes","No")</f>
        <v>No</v>
      </c>
      <c r="D56" s="255" t="str">
        <f>IF(AND(SUM(Skills!$G$19+Skills!$H$19)&gt;=5,SUM(Skills!$G$56+Skills!$H$56)&gt;=6,SUM(Skills!$G$36+Skills!$H$36)&gt;=5),"Yes","No")</f>
        <v>No</v>
      </c>
      <c r="E56" s="255" t="str">
        <f>IF(AND(SUM(Skills!$G$19+Skills!$H$19)&gt;=7,SUM(Skills!$G$56+Skills!$H$56)&gt;=8,SUM(Skills!$G$36+Skills!$H$36)&gt;=7),"Yes","No")</f>
        <v>No</v>
      </c>
      <c r="F56" s="255" t="str">
        <f>IF(AND(SUM(Skills!$G$19+Skills!$H$19)&gt;=9,SUM(Skills!$G$56+Skills!$H$56)&gt;=10,SUM(Skills!$G$36+Skills!$H$36)&gt;=9),"Yes","No")</f>
        <v>No</v>
      </c>
      <c r="G56" s="255" t="str">
        <f>IF(AND(SUM(Skills!$G$19+Skills!$H$19)&gt;=9,SUM(Skills!$G$56+Skills!$H$56)&gt;=10,SUM(Skills!$G$36+Skills!$H$36)&gt;=9),"Yes","No")</f>
        <v>No</v>
      </c>
      <c r="H56" s="255" t="str">
        <f>IF(AND(SUM(Skills!$G$19+Skills!$H$19)&gt;=11,SUM(Skills!$G$56+Skills!$H$56)&gt;=12,SUM(Skills!$G$36+Skills!$H$36)&gt;=11),"Yes","No")</f>
        <v>No</v>
      </c>
      <c r="I56" s="255" t="str">
        <f>IF(AND(SUM(Skills!$G$19+Skills!$H$19)&gt;=11,SUM(Skills!$G$56+Skills!$H$56)&gt;=12,SUM(Skills!$G$36+Skills!$H$36)&gt;=11),"Yes","No")</f>
        <v>No</v>
      </c>
      <c r="J56" s="255" t="str">
        <f>IF(AND(SUM(Skills!$G$19+Skills!$H$19)&gt;=13,SUM(Skills!$G$56+Skills!$H$56)&gt;=14,SUM(Skills!$G$36+Skills!$H$36)&gt;=13),"Yes","No")</f>
        <v>No</v>
      </c>
      <c r="K56" s="255" t="str">
        <f>IF(AND(SUM(Skills!$G$19+Skills!$H$19)&gt;=13,SUM(Skills!$G$56+Skills!$H$56)&gt;=14,SUM(Skills!$G$36+Skills!$H$36)&gt;=13),"Yes","No")</f>
        <v>No</v>
      </c>
      <c r="L56" s="36"/>
      <c r="M56" s="691" t="s">
        <v>1057</v>
      </c>
      <c r="N56" s="692"/>
      <c r="O56" s="261">
        <f>IF(1+General!$N$14&gt;=1,1+General!$N$14,1)+IF(T54="Yes",1,0)</f>
        <v>1</v>
      </c>
      <c r="P56" s="261">
        <f>IF(1+General!$N$14&gt;=1,1+General!$N$14,1)+IF(T54="Yes",1,0)</f>
        <v>1</v>
      </c>
      <c r="Q56" s="261">
        <f>IF(1+General!$N$14&gt;=1,1+General!$N$14,1)+IF(T54="Yes",1,0)</f>
        <v>1</v>
      </c>
      <c r="R56" s="469">
        <f>IF(1+General!$N$14&gt;=1,1+General!$N$14,1)</f>
        <v>1</v>
      </c>
      <c r="S56" s="470"/>
      <c r="T56" s="261">
        <f>IF(1+General!$N$14&gt;=1,1+General!$N$14,1)+1</f>
        <v>2</v>
      </c>
      <c r="U56" s="261" t="s">
        <v>53</v>
      </c>
      <c r="V56" s="261" t="s">
        <v>53</v>
      </c>
      <c r="W56" s="261" t="s">
        <v>53</v>
      </c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</row>
    <row r="57" spans="1:43" ht="18" customHeight="1" x14ac:dyDescent="0.25">
      <c r="A57" s="691" t="s">
        <v>436</v>
      </c>
      <c r="B57" s="692"/>
      <c r="C57" s="360">
        <f>IF(General!$N$14&gt;0,General!$N$14+1,1)</f>
        <v>1</v>
      </c>
      <c r="D57" s="360">
        <f>IF(General!$N$14&gt;0,General!$N$14+1,1)</f>
        <v>1</v>
      </c>
      <c r="E57" s="360">
        <f>IF(General!$N$14&gt;0,General!$N$14+1,1)</f>
        <v>1</v>
      </c>
      <c r="F57" s="360">
        <f>IF(General!$N$14&gt;0,General!$N$14+1,1)</f>
        <v>1</v>
      </c>
      <c r="G57" s="360">
        <f>IF(General!$N$14&gt;0,General!$N$14+1,1)</f>
        <v>1</v>
      </c>
      <c r="H57" s="360">
        <f>IF(General!$N$14&gt;0,General!$N$14+1,1)</f>
        <v>1</v>
      </c>
      <c r="I57" s="360">
        <f>IF(General!$N$14&gt;0,General!$N$14+1,1)</f>
        <v>1</v>
      </c>
      <c r="J57" s="360">
        <f>IF(General!$N$14&gt;0,General!$N$14+1,1)</f>
        <v>1</v>
      </c>
      <c r="K57" s="360">
        <f>IF(General!$N$14&gt;0,General!$N$14+1,1)</f>
        <v>1</v>
      </c>
      <c r="L57" s="36"/>
      <c r="M57" s="691" t="s">
        <v>1058</v>
      </c>
      <c r="N57" s="692"/>
      <c r="O57" s="261">
        <f>10+General!$N$14+ROUNDDOWN(General!$AF$7/2,0)</f>
        <v>5</v>
      </c>
      <c r="P57" s="261">
        <f>10+General!$N$14+ROUNDDOWN(General!$AF$7/2,0)</f>
        <v>5</v>
      </c>
      <c r="Q57" s="261">
        <f>10+General!$N$14+ROUNDDOWN(General!$AF$7/2,0)</f>
        <v>5</v>
      </c>
      <c r="R57" s="469">
        <f>10+General!$N$14+ROUNDDOWN(General!$AF$7/2,0)</f>
        <v>5</v>
      </c>
      <c r="S57" s="470"/>
      <c r="T57" s="261" t="s">
        <v>53</v>
      </c>
      <c r="U57" s="261" t="s">
        <v>53</v>
      </c>
      <c r="V57" s="261" t="s">
        <v>53</v>
      </c>
      <c r="W57" s="261" t="s">
        <v>53</v>
      </c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</row>
    <row r="58" spans="1:43" ht="18" customHeight="1" x14ac:dyDescent="0.25">
      <c r="A58" s="691" t="s">
        <v>1035</v>
      </c>
      <c r="B58" s="692"/>
      <c r="C58" s="255">
        <v>1</v>
      </c>
      <c r="D58" s="255">
        <v>1</v>
      </c>
      <c r="E58" s="255">
        <v>1</v>
      </c>
      <c r="F58" s="155" t="s">
        <v>450</v>
      </c>
      <c r="G58" s="255" t="s">
        <v>53</v>
      </c>
      <c r="H58" s="255" t="s">
        <v>53</v>
      </c>
      <c r="I58" s="255" t="s">
        <v>53</v>
      </c>
      <c r="J58" s="255" t="s">
        <v>53</v>
      </c>
      <c r="K58" s="155" t="s">
        <v>450</v>
      </c>
      <c r="L58" s="36"/>
      <c r="M58" s="691" t="s">
        <v>1059</v>
      </c>
      <c r="N58" s="692"/>
      <c r="O58" s="261">
        <f>IF(1+General!$N$8&gt;=1,1+General!$N$8,1)+IF(T54="Yes",1,0)</f>
        <v>1</v>
      </c>
      <c r="P58" s="261">
        <f>IF(1+General!$N$8&gt;=1,1+General!$N$8,1)+IF(T54="Yes",1,0)</f>
        <v>1</v>
      </c>
      <c r="Q58" s="261">
        <f>IF(1+General!$N$8&gt;=1,1+General!$N$8,1)+IF(T54="Yes",1,0)</f>
        <v>1</v>
      </c>
      <c r="R58" s="469">
        <f>IF(1+General!$N$8&gt;=1,1+General!$N$8,1)</f>
        <v>1</v>
      </c>
      <c r="S58" s="470"/>
      <c r="T58" s="261">
        <f>IF(1+General!$N$8&gt;=1,1+General!$N$8,1)+1</f>
        <v>2</v>
      </c>
      <c r="U58" s="261" t="s">
        <v>53</v>
      </c>
      <c r="V58" s="261" t="s">
        <v>53</v>
      </c>
      <c r="W58" s="261" t="s">
        <v>53</v>
      </c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</row>
    <row r="59" spans="1:43" ht="18" customHeight="1" x14ac:dyDescent="0.25">
      <c r="A59" s="691" t="s">
        <v>1037</v>
      </c>
      <c r="B59" s="692"/>
      <c r="C59" s="155" t="s">
        <v>1038</v>
      </c>
      <c r="D59" s="155" t="s">
        <v>1039</v>
      </c>
      <c r="E59" s="155" t="s">
        <v>470</v>
      </c>
      <c r="F59" s="255" t="s">
        <v>53</v>
      </c>
      <c r="G59" s="155" t="s">
        <v>661</v>
      </c>
      <c r="H59" s="255" t="s">
        <v>53</v>
      </c>
      <c r="I59" s="255" t="s">
        <v>53</v>
      </c>
      <c r="J59" s="255" t="s">
        <v>53</v>
      </c>
      <c r="K59" s="255" t="s">
        <v>53</v>
      </c>
      <c r="L59" s="36"/>
      <c r="M59" s="691" t="s">
        <v>1060</v>
      </c>
      <c r="N59" s="692"/>
      <c r="O59" s="261">
        <f>IF(1+General!$N$6&gt;=1,1+General!$N$6,1)+IF(T54="Yes",1,0)</f>
        <v>1</v>
      </c>
      <c r="P59" s="261">
        <f>IF(1+General!$N$6&gt;=1,1+General!$N$6,1)+IF(T54="Yes",1,0)</f>
        <v>1</v>
      </c>
      <c r="Q59" s="261">
        <f>IF(1+General!$N$6&gt;=1,1+General!$N$6,1)+IF(T54="Yes",1,0)</f>
        <v>1</v>
      </c>
      <c r="R59" s="469">
        <f>IF(1+General!$N$6&gt;=1,1+General!$N$6,1)</f>
        <v>1</v>
      </c>
      <c r="S59" s="470"/>
      <c r="T59" s="261">
        <f>IF(1+General!$N$6&gt;=1,1+General!$N$6,1)+1</f>
        <v>2</v>
      </c>
      <c r="U59" s="261" t="s">
        <v>53</v>
      </c>
      <c r="V59" s="261" t="s">
        <v>53</v>
      </c>
      <c r="W59" s="261" t="s">
        <v>53</v>
      </c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</row>
    <row r="60" spans="1:43" ht="18" customHeight="1" x14ac:dyDescent="0.25">
      <c r="A60" s="691" t="s">
        <v>1040</v>
      </c>
      <c r="B60" s="692"/>
      <c r="C60" s="268">
        <v>0.5</v>
      </c>
      <c r="D60" s="268">
        <v>0.5</v>
      </c>
      <c r="E60" s="268">
        <v>0.5</v>
      </c>
      <c r="F60" s="255" t="s">
        <v>53</v>
      </c>
      <c r="G60" s="255" t="s">
        <v>53</v>
      </c>
      <c r="H60" s="255" t="s">
        <v>53</v>
      </c>
      <c r="I60" s="269">
        <v>1</v>
      </c>
      <c r="J60" s="255" t="s">
        <v>53</v>
      </c>
      <c r="K60" s="255" t="s">
        <v>53</v>
      </c>
      <c r="L60" s="36"/>
      <c r="M60" s="691" t="s">
        <v>1061</v>
      </c>
      <c r="N60" s="692"/>
      <c r="O60" s="261">
        <f>IF(1+General!$N$8&gt;=1,1+General!$N$8,1)+IF(T54="Yes",1,0)</f>
        <v>1</v>
      </c>
      <c r="P60" s="261">
        <f>IF(1+General!$N$8&gt;=1,1+General!$N$8,1)+IF(T54="Yes",1,0)</f>
        <v>1</v>
      </c>
      <c r="Q60" s="261">
        <f>IF(1+General!$N$8&gt;=1,1+General!$N$8,1)+IF(T54="Yes",1,0)</f>
        <v>1</v>
      </c>
      <c r="R60" s="469">
        <f>IF(1+General!$N$8&gt;=1,1+General!$N$8,1)</f>
        <v>1</v>
      </c>
      <c r="S60" s="470"/>
      <c r="T60" s="261">
        <f>IF(1+General!$N$8&gt;=1,1+General!$N$8,1)+1</f>
        <v>2</v>
      </c>
      <c r="U60" s="261" t="s">
        <v>53</v>
      </c>
      <c r="V60" s="261" t="s">
        <v>53</v>
      </c>
      <c r="W60" s="261" t="s">
        <v>53</v>
      </c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</row>
    <row r="61" spans="1:43" ht="18" customHeight="1" x14ac:dyDescent="0.25">
      <c r="A61" s="691" t="s">
        <v>1041</v>
      </c>
      <c r="B61" s="692"/>
      <c r="C61" s="260">
        <v>2</v>
      </c>
      <c r="D61" s="260">
        <v>2</v>
      </c>
      <c r="E61" s="260">
        <v>2</v>
      </c>
      <c r="F61" s="255" t="s">
        <v>53</v>
      </c>
      <c r="G61" s="255" t="s">
        <v>53</v>
      </c>
      <c r="H61" s="255" t="s">
        <v>53</v>
      </c>
      <c r="I61" s="255" t="s">
        <v>53</v>
      </c>
      <c r="J61" s="155" t="s">
        <v>459</v>
      </c>
      <c r="K61" s="255" t="s">
        <v>53</v>
      </c>
      <c r="L61" s="36"/>
      <c r="M61" s="691" t="s">
        <v>1062</v>
      </c>
      <c r="N61" s="692"/>
      <c r="O61" s="261" t="s">
        <v>53</v>
      </c>
      <c r="P61" s="261" t="s">
        <v>53</v>
      </c>
      <c r="Q61" s="261">
        <f>IF(1+General!$N$14&gt;=1,1+General!$N$14,1)+IF(T54="Yes",1,0)</f>
        <v>1</v>
      </c>
      <c r="R61" s="469">
        <f>IF(1+General!$N$14&gt;=1,1+General!$N$14,1)</f>
        <v>1</v>
      </c>
      <c r="S61" s="470"/>
      <c r="T61" s="261">
        <f>IF(1+General!$N$14&gt;=1,1+General!$N$14,1)+1</f>
        <v>2</v>
      </c>
      <c r="U61" s="261" t="s">
        <v>53</v>
      </c>
      <c r="V61" s="261" t="s">
        <v>53</v>
      </c>
      <c r="W61" s="261" t="s">
        <v>53</v>
      </c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</row>
    <row r="62" spans="1:43" ht="18" customHeight="1" x14ac:dyDescent="0.25">
      <c r="A62" s="542" t="s">
        <v>449</v>
      </c>
      <c r="B62" s="542"/>
      <c r="C62" s="257">
        <v>3</v>
      </c>
      <c r="D62" s="255">
        <v>2</v>
      </c>
      <c r="E62" s="257">
        <v>2</v>
      </c>
      <c r="F62" s="255" t="s">
        <v>53</v>
      </c>
      <c r="G62" s="255" t="s">
        <v>53</v>
      </c>
      <c r="H62" s="255" t="s">
        <v>53</v>
      </c>
      <c r="I62" s="255" t="s">
        <v>53</v>
      </c>
      <c r="J62" s="255" t="s">
        <v>53</v>
      </c>
      <c r="K62" s="255" t="s">
        <v>53</v>
      </c>
      <c r="L62" s="36"/>
      <c r="M62" s="691" t="s">
        <v>1063</v>
      </c>
      <c r="N62" s="692"/>
      <c r="O62" s="261" t="s">
        <v>53</v>
      </c>
      <c r="P62" s="261" t="s">
        <v>53</v>
      </c>
      <c r="Q62" s="261">
        <f>IF(1+General!$N$8&gt;=1,1+General!$N$8,1)+IF(T54="Yes",1,0)</f>
        <v>1</v>
      </c>
      <c r="R62" s="469">
        <f>IF(1+General!$N$8&gt;=1,1+General!$N$8,1)</f>
        <v>1</v>
      </c>
      <c r="S62" s="470"/>
      <c r="T62" s="261">
        <f>IF(1+General!$N$8&gt;=1,1+General!$N$8,1)+1</f>
        <v>2</v>
      </c>
      <c r="U62" s="261" t="s">
        <v>53</v>
      </c>
      <c r="V62" s="261" t="s">
        <v>53</v>
      </c>
      <c r="W62" s="261" t="s">
        <v>53</v>
      </c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</row>
    <row r="63" spans="1:43" ht="18" customHeight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691" t="s">
        <v>1064</v>
      </c>
      <c r="N63" s="692"/>
      <c r="O63" s="261" t="s">
        <v>53</v>
      </c>
      <c r="P63" s="261" t="s">
        <v>53</v>
      </c>
      <c r="Q63" s="261">
        <f>IF(1+General!$N$6&gt;=1,1+General!$N$6,1)+IF(T54="Yes",1,0)</f>
        <v>1</v>
      </c>
      <c r="R63" s="469">
        <f>IF(1+General!$N$6&gt;=1,1+General!$N$6,1)</f>
        <v>1</v>
      </c>
      <c r="S63" s="470"/>
      <c r="T63" s="261">
        <f>IF(1+General!$N$6&gt;=1,1+General!$N$6,1)+1</f>
        <v>2</v>
      </c>
      <c r="U63" s="261" t="s">
        <v>53</v>
      </c>
      <c r="V63" s="261" t="s">
        <v>53</v>
      </c>
      <c r="W63" s="261" t="s">
        <v>53</v>
      </c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</row>
    <row r="64" spans="1:43" ht="18" customHeight="1" x14ac:dyDescent="0.25">
      <c r="A64" s="695" t="s">
        <v>461</v>
      </c>
      <c r="B64" s="696"/>
      <c r="C64" s="701" t="s">
        <v>437</v>
      </c>
      <c r="D64" s="701" t="s">
        <v>439</v>
      </c>
      <c r="E64" s="701" t="s">
        <v>438</v>
      </c>
      <c r="F64" s="691" t="s">
        <v>440</v>
      </c>
      <c r="G64" s="692"/>
      <c r="H64" s="691" t="s">
        <v>441</v>
      </c>
      <c r="I64" s="692"/>
      <c r="J64" s="691" t="s">
        <v>442</v>
      </c>
      <c r="K64" s="692"/>
      <c r="L64" s="36"/>
      <c r="M64" s="691" t="s">
        <v>1065</v>
      </c>
      <c r="N64" s="692"/>
      <c r="O64" s="261" t="s">
        <v>53</v>
      </c>
      <c r="P64" s="261" t="s">
        <v>53</v>
      </c>
      <c r="Q64" s="261">
        <f>10+IF(Feats!$E$38&gt;=1,General!$N$6*2,General!$N$6)+ROUNDDOWN(General!$AF$7/2,0)</f>
        <v>5</v>
      </c>
      <c r="R64" s="469">
        <f>10+IF(Feats!$E$38&gt;=1,General!$N$6*2,General!$N$6)+ROUNDDOWN(General!$AF$7/2,0)</f>
        <v>5</v>
      </c>
      <c r="S64" s="470"/>
      <c r="T64" s="261" t="s">
        <v>53</v>
      </c>
      <c r="U64" s="261" t="s">
        <v>53</v>
      </c>
      <c r="V64" s="261" t="s">
        <v>53</v>
      </c>
      <c r="W64" s="261" t="s">
        <v>53</v>
      </c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</row>
    <row r="65" spans="1:43" ht="18" customHeight="1" x14ac:dyDescent="0.25">
      <c r="A65" s="697"/>
      <c r="B65" s="698"/>
      <c r="C65" s="703"/>
      <c r="D65" s="703"/>
      <c r="E65" s="703"/>
      <c r="F65" s="154" t="s">
        <v>776</v>
      </c>
      <c r="G65" s="152" t="s">
        <v>520</v>
      </c>
      <c r="H65" s="151" t="s">
        <v>446</v>
      </c>
      <c r="I65" s="224" t="s">
        <v>518</v>
      </c>
      <c r="J65" s="154" t="s">
        <v>453</v>
      </c>
      <c r="K65" s="152" t="s">
        <v>457</v>
      </c>
      <c r="L65" s="36"/>
      <c r="M65" s="691" t="s">
        <v>1066</v>
      </c>
      <c r="N65" s="692"/>
      <c r="O65" s="261" t="s">
        <v>53</v>
      </c>
      <c r="P65" s="261" t="s">
        <v>53</v>
      </c>
      <c r="Q65" s="261">
        <f>IF(1+General!$N$8&gt;=1,1+General!$N$8,1)+IF(T54="Yes",1,0)</f>
        <v>1</v>
      </c>
      <c r="R65" s="469">
        <f>IF(1+General!$N$8&gt;=1,1+General!$N$8,1)</f>
        <v>1</v>
      </c>
      <c r="S65" s="470"/>
      <c r="T65" s="261">
        <f>IF(1+General!$N$8&gt;=1,1+General!$N$8,1)+1</f>
        <v>2</v>
      </c>
      <c r="U65" s="261" t="s">
        <v>53</v>
      </c>
      <c r="V65" s="261" t="s">
        <v>53</v>
      </c>
      <c r="W65" s="261" t="s">
        <v>53</v>
      </c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</row>
    <row r="66" spans="1:43" ht="18" customHeight="1" x14ac:dyDescent="0.25">
      <c r="A66" s="542" t="s">
        <v>248</v>
      </c>
      <c r="B66" s="542"/>
      <c r="C66" s="101"/>
      <c r="D66" s="101"/>
      <c r="E66" s="101"/>
      <c r="F66" s="101"/>
      <c r="G66" s="222"/>
      <c r="H66" s="221"/>
      <c r="I66" s="222"/>
      <c r="J66" s="221"/>
      <c r="K66" s="222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3" ht="18" customHeight="1" x14ac:dyDescent="0.25">
      <c r="A67" s="542" t="s">
        <v>247</v>
      </c>
      <c r="B67" s="542"/>
      <c r="C67" s="198" t="str">
        <f>IF(AND(General!$D$44&gt;=0,Feats!Q29=1),"Yes","No")</f>
        <v>No</v>
      </c>
      <c r="D67" s="223" t="str">
        <f>IF(AND(General!$D$44&gt;=1,Feats!Q29=1),"Yes","No")</f>
        <v>No</v>
      </c>
      <c r="E67" s="223" t="str">
        <f>IF(AND(General!$D$44&gt;=2,Feats!Q29=1),"Yes","No")</f>
        <v>No</v>
      </c>
      <c r="F67" s="223" t="str">
        <f>IF(AND(General!$D$44&gt;=3,Feats!Q29=1),"Yes","No")</f>
        <v>No</v>
      </c>
      <c r="G67" s="223" t="str">
        <f>IF(AND(General!$D$44&gt;=3,Feats!Q29=1),"Yes","No")</f>
        <v>No</v>
      </c>
      <c r="H67" s="223" t="str">
        <f>IF(AND(General!$D$44&gt;=4,Feats!Q29=1),"Yes","No")</f>
        <v>No</v>
      </c>
      <c r="I67" s="223" t="str">
        <f>IF(AND(General!$D$44&gt;=4,Feats!Q29=1),"Yes","No")</f>
        <v>No</v>
      </c>
      <c r="J67" s="223" t="str">
        <f>IF(AND(General!$D$44&gt;=5,Feats!Q29=1),"Yes","No")</f>
        <v>No</v>
      </c>
      <c r="K67" s="198" t="str">
        <f>IF(AND(General!$D$44&gt;=5,Feats!Q29=1),"Yes","No")</f>
        <v>No</v>
      </c>
      <c r="L67" s="36"/>
      <c r="M67" s="695" t="s">
        <v>1069</v>
      </c>
      <c r="N67" s="696"/>
      <c r="O67" s="701" t="s">
        <v>437</v>
      </c>
      <c r="P67" s="701" t="s">
        <v>439</v>
      </c>
      <c r="Q67" s="701" t="s">
        <v>438</v>
      </c>
      <c r="R67" s="691" t="s">
        <v>440</v>
      </c>
      <c r="S67" s="692"/>
      <c r="T67" s="691" t="s">
        <v>441</v>
      </c>
      <c r="U67" s="692"/>
      <c r="V67" s="691" t="s">
        <v>442</v>
      </c>
      <c r="W67" s="692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</row>
    <row r="68" spans="1:43" ht="18" customHeight="1" x14ac:dyDescent="0.25">
      <c r="A68" s="691" t="s">
        <v>436</v>
      </c>
      <c r="B68" s="692"/>
      <c r="C68" s="360">
        <f>IF(General!$N$14&gt;0,General!$N$14+1,1)</f>
        <v>1</v>
      </c>
      <c r="D68" s="360">
        <f>IF(General!$N$14&gt;0,General!$N$14+1,1)</f>
        <v>1</v>
      </c>
      <c r="E68" s="360">
        <f>IF(General!$N$14&gt;0,General!$N$14+1,1)</f>
        <v>1</v>
      </c>
      <c r="F68" s="360">
        <f>IF(General!$N$14&gt;0,General!$N$14+1,1)</f>
        <v>1</v>
      </c>
      <c r="G68" s="360">
        <f>IF(General!$N$14&gt;0,General!$N$14+1,1)</f>
        <v>1</v>
      </c>
      <c r="H68" s="360">
        <f>IF(General!$N$14&gt;0,General!$N$14+1,1)</f>
        <v>1</v>
      </c>
      <c r="I68" s="360">
        <f>IF(General!$N$14&gt;0,General!$N$14+1,1)</f>
        <v>1</v>
      </c>
      <c r="J68" s="360">
        <f>IF(General!$N$14&gt;0,General!$N$14+1,1)</f>
        <v>1</v>
      </c>
      <c r="K68" s="360">
        <f>IF(General!$N$14&gt;0,General!$N$14+1,1)</f>
        <v>1</v>
      </c>
      <c r="L68" s="36"/>
      <c r="M68" s="697"/>
      <c r="N68" s="698"/>
      <c r="O68" s="703"/>
      <c r="P68" s="703"/>
      <c r="Q68" s="703"/>
      <c r="R68" s="154" t="s">
        <v>467</v>
      </c>
      <c r="S68" s="152" t="s">
        <v>466</v>
      </c>
      <c r="T68" s="154" t="s">
        <v>1071</v>
      </c>
      <c r="U68" s="152" t="s">
        <v>1072</v>
      </c>
      <c r="V68" s="152" t="s">
        <v>1073</v>
      </c>
      <c r="W68" s="152" t="s">
        <v>1074</v>
      </c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</row>
    <row r="69" spans="1:43" ht="18" customHeight="1" x14ac:dyDescent="0.25">
      <c r="A69" s="691" t="s">
        <v>775</v>
      </c>
      <c r="B69" s="692"/>
      <c r="C69" s="223">
        <v>1</v>
      </c>
      <c r="D69" s="223">
        <v>1</v>
      </c>
      <c r="E69" s="223">
        <v>1</v>
      </c>
      <c r="F69" s="198" t="s">
        <v>53</v>
      </c>
      <c r="G69" s="155" t="s">
        <v>450</v>
      </c>
      <c r="H69" s="198" t="s">
        <v>53</v>
      </c>
      <c r="I69" s="198" t="s">
        <v>53</v>
      </c>
      <c r="J69" s="198" t="s">
        <v>53</v>
      </c>
      <c r="K69" s="198" t="s">
        <v>53</v>
      </c>
      <c r="L69" s="36"/>
      <c r="M69" s="542" t="s">
        <v>248</v>
      </c>
      <c r="N69" s="542"/>
      <c r="O69" s="101"/>
      <c r="P69" s="266"/>
      <c r="Q69" s="266"/>
      <c r="R69" s="262"/>
      <c r="S69" s="267"/>
      <c r="T69" s="262"/>
      <c r="U69" s="267"/>
      <c r="V69" s="262"/>
      <c r="W69" s="267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</row>
    <row r="70" spans="1:43" ht="18" customHeight="1" x14ac:dyDescent="0.25">
      <c r="A70" s="542" t="s">
        <v>249</v>
      </c>
      <c r="B70" s="542"/>
      <c r="C70" s="198">
        <v>2</v>
      </c>
      <c r="D70" s="223">
        <v>2</v>
      </c>
      <c r="E70" s="223">
        <v>3</v>
      </c>
      <c r="F70" s="198" t="s">
        <v>53</v>
      </c>
      <c r="G70" s="198" t="s">
        <v>53</v>
      </c>
      <c r="H70" s="155" t="s">
        <v>450</v>
      </c>
      <c r="I70" s="198" t="s">
        <v>53</v>
      </c>
      <c r="J70" s="198" t="s">
        <v>53</v>
      </c>
      <c r="K70" s="198" t="s">
        <v>53</v>
      </c>
      <c r="L70" s="36"/>
      <c r="M70" s="542" t="s">
        <v>247</v>
      </c>
      <c r="N70" s="542"/>
      <c r="O70" s="261" t="str">
        <f>IF(SUM(Skills!$G$19+Skills!$H$19)&gt;=5,"Yes","No")</f>
        <v>No</v>
      </c>
      <c r="P70" s="261" t="str">
        <f>IF(SUM(Skills!$G$19+Skills!$H$19)&gt;=7,"Yes","No")</f>
        <v>No</v>
      </c>
      <c r="Q70" s="261" t="str">
        <f>IF(SUM(Skills!$G$19+Skills!$H$19)&gt;=9,"Yes","No")</f>
        <v>No</v>
      </c>
      <c r="R70" s="261" t="str">
        <f>IF(SUM(Skills!$G$19+Skills!$H$19)&gt;=11,"Yes","No")</f>
        <v>No</v>
      </c>
      <c r="S70" s="261" t="str">
        <f>IF(SUM(Skills!$G$19+Skills!$H$19)&gt;=11,"Yes","No")</f>
        <v>No</v>
      </c>
      <c r="T70" s="261" t="str">
        <f>IF(SUM(Skills!$G$19+Skills!$H$19)&gt;=13,"Yes","No")</f>
        <v>No</v>
      </c>
      <c r="U70" s="261" t="str">
        <f>IF(SUM(Skills!$G$19+Skills!$H$19)&gt;=13,"Yes","No")</f>
        <v>No</v>
      </c>
      <c r="V70" s="261" t="str">
        <f>IF(SUM(Skills!$G$19+Skills!$H$19)&gt;=15,"Yes","No")</f>
        <v>No</v>
      </c>
      <c r="W70" s="261" t="str">
        <f>IF(SUM(Skills!$G$19+Skills!$H$19)&gt;=15,"Yes","No")</f>
        <v>No</v>
      </c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</row>
    <row r="71" spans="1:43" ht="18" customHeight="1" x14ac:dyDescent="0.25">
      <c r="A71" s="691" t="s">
        <v>777</v>
      </c>
      <c r="B71" s="692"/>
      <c r="C71" s="198" t="s">
        <v>53</v>
      </c>
      <c r="D71" s="198" t="s">
        <v>53</v>
      </c>
      <c r="E71" s="198" t="s">
        <v>53</v>
      </c>
      <c r="F71" s="155" t="s">
        <v>535</v>
      </c>
      <c r="G71" s="198" t="s">
        <v>53</v>
      </c>
      <c r="H71" s="198" t="s">
        <v>53</v>
      </c>
      <c r="I71" s="198" t="s">
        <v>53</v>
      </c>
      <c r="J71" s="198" t="s">
        <v>53</v>
      </c>
      <c r="K71" s="155" t="s">
        <v>535</v>
      </c>
      <c r="L71" s="36"/>
      <c r="M71" s="691" t="s">
        <v>436</v>
      </c>
      <c r="N71" s="692"/>
      <c r="O71" s="360">
        <f>IF(General!$N$14&gt;0,General!$N$14+1,1)</f>
        <v>1</v>
      </c>
      <c r="P71" s="360">
        <f>IF(General!$N$14&gt;0,General!$N$14+1,1)</f>
        <v>1</v>
      </c>
      <c r="Q71" s="360">
        <f>IF(General!$N$14&gt;0,General!$N$14+1,1)</f>
        <v>1</v>
      </c>
      <c r="R71" s="360">
        <f>IF(General!$N$14&gt;0,General!$N$14+1,1)</f>
        <v>1</v>
      </c>
      <c r="S71" s="360">
        <f>IF(General!$N$14&gt;0,General!$N$14+1,1)</f>
        <v>1</v>
      </c>
      <c r="T71" s="360">
        <f>IF(General!$N$14&gt;0,General!$N$14+1,1)</f>
        <v>1</v>
      </c>
      <c r="U71" s="360">
        <f>IF(General!$N$14&gt;0,General!$N$14+1,1)</f>
        <v>1</v>
      </c>
      <c r="V71" s="360">
        <f>IF(General!$N$14&gt;0,General!$N$14+1,1)</f>
        <v>1</v>
      </c>
      <c r="W71" s="360">
        <f>IF(General!$N$14&gt;0,General!$N$14+1,1)</f>
        <v>1</v>
      </c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</row>
    <row r="72" spans="1:43" ht="18" customHeight="1" x14ac:dyDescent="0.25">
      <c r="A72" s="691" t="s">
        <v>449</v>
      </c>
      <c r="B72" s="692"/>
      <c r="C72" s="198">
        <v>4</v>
      </c>
      <c r="D72" s="223">
        <v>3</v>
      </c>
      <c r="E72" s="223">
        <v>3</v>
      </c>
      <c r="F72" s="198" t="s">
        <v>53</v>
      </c>
      <c r="G72" s="198" t="s">
        <v>53</v>
      </c>
      <c r="H72" s="198" t="s">
        <v>53</v>
      </c>
      <c r="I72" s="198" t="s">
        <v>53</v>
      </c>
      <c r="J72" s="155" t="s">
        <v>459</v>
      </c>
      <c r="K72" s="198" t="s">
        <v>53</v>
      </c>
      <c r="L72" s="36"/>
      <c r="M72" s="691" t="s">
        <v>467</v>
      </c>
      <c r="N72" s="692"/>
      <c r="O72" s="263" t="s">
        <v>477</v>
      </c>
      <c r="P72" s="263" t="s">
        <v>477</v>
      </c>
      <c r="Q72" s="263" t="s">
        <v>522</v>
      </c>
      <c r="R72" s="155" t="s">
        <v>470</v>
      </c>
      <c r="S72" s="261" t="s">
        <v>53</v>
      </c>
      <c r="T72" s="261" t="s">
        <v>53</v>
      </c>
      <c r="U72" s="261" t="s">
        <v>53</v>
      </c>
      <c r="V72" s="261" t="s">
        <v>1076</v>
      </c>
      <c r="W72" s="261" t="s">
        <v>1076</v>
      </c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</row>
    <row r="73" spans="1:43" ht="18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691" t="s">
        <v>1077</v>
      </c>
      <c r="N73" s="692"/>
      <c r="O73" s="263">
        <v>10</v>
      </c>
      <c r="P73" s="263">
        <v>10</v>
      </c>
      <c r="Q73" s="263">
        <v>15</v>
      </c>
      <c r="R73" s="261" t="s">
        <v>53</v>
      </c>
      <c r="S73" s="155" t="s">
        <v>547</v>
      </c>
      <c r="T73" s="261" t="s">
        <v>53</v>
      </c>
      <c r="U73" s="261" t="s">
        <v>53</v>
      </c>
      <c r="V73" s="261" t="s">
        <v>53</v>
      </c>
      <c r="W73" s="261" t="s">
        <v>53</v>
      </c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</row>
    <row r="74" spans="1:43" ht="18" customHeight="1" x14ac:dyDescent="0.25">
      <c r="A74" s="695" t="s">
        <v>462</v>
      </c>
      <c r="B74" s="696"/>
      <c r="C74" s="701" t="s">
        <v>437</v>
      </c>
      <c r="D74" s="701" t="s">
        <v>439</v>
      </c>
      <c r="E74" s="701" t="s">
        <v>438</v>
      </c>
      <c r="F74" s="691" t="s">
        <v>440</v>
      </c>
      <c r="G74" s="692"/>
      <c r="H74" s="691" t="s">
        <v>441</v>
      </c>
      <c r="I74" s="692"/>
      <c r="J74" s="691" t="s">
        <v>442</v>
      </c>
      <c r="K74" s="692"/>
      <c r="L74" s="36"/>
      <c r="M74" s="691" t="s">
        <v>1078</v>
      </c>
      <c r="N74" s="692"/>
      <c r="O74" s="268">
        <v>0.5</v>
      </c>
      <c r="P74" s="268">
        <v>0.5</v>
      </c>
      <c r="Q74" s="268">
        <v>0.5</v>
      </c>
      <c r="R74" s="261" t="s">
        <v>53</v>
      </c>
      <c r="S74" s="261" t="s">
        <v>53</v>
      </c>
      <c r="T74" s="261" t="s">
        <v>53</v>
      </c>
      <c r="U74" s="269">
        <v>0.25</v>
      </c>
      <c r="V74" s="261" t="s">
        <v>53</v>
      </c>
      <c r="W74" s="261" t="s">
        <v>53</v>
      </c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</row>
    <row r="75" spans="1:43" ht="18" customHeight="1" x14ac:dyDescent="0.25">
      <c r="A75" s="697"/>
      <c r="B75" s="698"/>
      <c r="C75" s="703"/>
      <c r="D75" s="703"/>
      <c r="E75" s="703"/>
      <c r="F75" s="154" t="s">
        <v>466</v>
      </c>
      <c r="G75" s="152" t="s">
        <v>467</v>
      </c>
      <c r="H75" s="154" t="s">
        <v>468</v>
      </c>
      <c r="I75" s="152" t="s">
        <v>453</v>
      </c>
      <c r="J75" s="154" t="s">
        <v>469</v>
      </c>
      <c r="K75" s="152" t="s">
        <v>467</v>
      </c>
      <c r="L75" s="36"/>
      <c r="M75" s="691" t="s">
        <v>449</v>
      </c>
      <c r="N75" s="692"/>
      <c r="O75" s="261">
        <v>2</v>
      </c>
      <c r="P75" s="261">
        <v>1</v>
      </c>
      <c r="Q75" s="261">
        <v>1</v>
      </c>
      <c r="R75" s="261" t="s">
        <v>53</v>
      </c>
      <c r="S75" s="261" t="s">
        <v>53</v>
      </c>
      <c r="T75" s="261" t="s">
        <v>53</v>
      </c>
      <c r="U75" s="261" t="s">
        <v>53</v>
      </c>
      <c r="V75" s="261" t="s">
        <v>53</v>
      </c>
      <c r="W75" s="261" t="s">
        <v>53</v>
      </c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</row>
    <row r="76" spans="1:43" x14ac:dyDescent="0.25">
      <c r="A76" s="542" t="s">
        <v>248</v>
      </c>
      <c r="B76" s="542"/>
      <c r="C76" s="101"/>
      <c r="D76" s="348"/>
      <c r="E76" s="348"/>
      <c r="F76" s="134"/>
      <c r="G76" s="349"/>
      <c r="H76" s="347"/>
      <c r="I76" s="135"/>
      <c r="J76" s="134"/>
      <c r="K76" s="349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</row>
    <row r="77" spans="1:43" ht="18" customHeight="1" x14ac:dyDescent="0.25">
      <c r="A77" s="542" t="s">
        <v>247</v>
      </c>
      <c r="B77" s="542"/>
      <c r="C77" s="142" t="str">
        <f>IF(AND(General!$D$44&gt;=0,Feats!Q31=1),"Yes","No")</f>
        <v>No</v>
      </c>
      <c r="D77" s="136" t="str">
        <f>IF(AND(General!$D$44&gt;=1,Feats!Q31=1),"Yes","No")</f>
        <v>No</v>
      </c>
      <c r="E77" s="136" t="str">
        <f>IF(AND(General!$D$44&gt;=2,Feats!Q31=1),"Yes","No")</f>
        <v>No</v>
      </c>
      <c r="F77" s="136" t="str">
        <f>IF(AND(General!$D$44&gt;=3,Feats!Q31=1),"Yes","No")</f>
        <v>No</v>
      </c>
      <c r="G77" s="136" t="str">
        <f>IF(AND(General!$D$44&gt;=3,Feats!Q31=1),"Yes","No")</f>
        <v>No</v>
      </c>
      <c r="H77" s="136" t="str">
        <f>IF(AND(General!$D$44&gt;=4,Feats!Q31=1),"Yes","No")</f>
        <v>No</v>
      </c>
      <c r="I77" s="136" t="str">
        <f>IF(AND(General!$D$44&gt;=4,Feats!Q31=1),"Yes","No")</f>
        <v>No</v>
      </c>
      <c r="J77" s="136" t="str">
        <f>IF(AND(General!$D$44&gt;=5,Feats!Q31=1),"Yes","No")</f>
        <v>No</v>
      </c>
      <c r="K77" s="142" t="str">
        <f>IF(AND(General!$D$44&gt;=5,Feats!Q31=1),"Yes","No")</f>
        <v>No</v>
      </c>
      <c r="L77" s="36"/>
      <c r="M77" s="695" t="s">
        <v>521</v>
      </c>
      <c r="N77" s="696"/>
      <c r="O77" s="701" t="s">
        <v>437</v>
      </c>
      <c r="P77" s="701" t="s">
        <v>439</v>
      </c>
      <c r="Q77" s="701" t="s">
        <v>438</v>
      </c>
      <c r="R77" s="691" t="s">
        <v>440</v>
      </c>
      <c r="S77" s="692"/>
      <c r="T77" s="691" t="s">
        <v>441</v>
      </c>
      <c r="U77" s="692"/>
      <c r="V77" s="691" t="s">
        <v>442</v>
      </c>
      <c r="W77" s="692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</row>
    <row r="78" spans="1:43" ht="18" customHeight="1" x14ac:dyDescent="0.25">
      <c r="A78" s="691" t="s">
        <v>436</v>
      </c>
      <c r="B78" s="692"/>
      <c r="C78" s="360">
        <f>IF(General!$N$14&gt;0,General!$N$14+1,1)</f>
        <v>1</v>
      </c>
      <c r="D78" s="360">
        <f>IF(General!$N$14&gt;0,General!$N$14+1,1)</f>
        <v>1</v>
      </c>
      <c r="E78" s="360">
        <f>IF(General!$N$14&gt;0,General!$N$14+1,1)</f>
        <v>1</v>
      </c>
      <c r="F78" s="360">
        <f>IF(General!$N$14&gt;0,General!$N$14+1,1)</f>
        <v>1</v>
      </c>
      <c r="G78" s="360">
        <f>IF(General!$N$14&gt;0,General!$N$14+1,1)</f>
        <v>1</v>
      </c>
      <c r="H78" s="360">
        <f>IF(General!$N$14&gt;0,General!$N$14+1,1)</f>
        <v>1</v>
      </c>
      <c r="I78" s="360">
        <f>IF(General!$N$14&gt;0,General!$N$14+1,1)</f>
        <v>1</v>
      </c>
      <c r="J78" s="360">
        <f>IF(General!$N$14&gt;0,General!$N$14+1,1)</f>
        <v>1</v>
      </c>
      <c r="K78" s="360">
        <f>IF(General!$N$14&gt;0,General!$N$14+1,1)</f>
        <v>1</v>
      </c>
      <c r="L78" s="36"/>
      <c r="M78" s="697"/>
      <c r="N78" s="698"/>
      <c r="O78" s="703"/>
      <c r="P78" s="703"/>
      <c r="Q78" s="703"/>
      <c r="R78" s="154" t="s">
        <v>1068</v>
      </c>
      <c r="S78" s="152" t="s">
        <v>446</v>
      </c>
      <c r="T78" s="154" t="s">
        <v>634</v>
      </c>
      <c r="U78" s="152" t="s">
        <v>453</v>
      </c>
      <c r="V78" s="152" t="s">
        <v>453</v>
      </c>
      <c r="W78" s="152" t="s">
        <v>776</v>
      </c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</row>
    <row r="79" spans="1:43" ht="18" customHeight="1" x14ac:dyDescent="0.25">
      <c r="A79" s="691" t="s">
        <v>467</v>
      </c>
      <c r="B79" s="692"/>
      <c r="C79" s="144" t="s">
        <v>464</v>
      </c>
      <c r="D79" s="144" t="s">
        <v>464</v>
      </c>
      <c r="E79" s="144" t="s">
        <v>465</v>
      </c>
      <c r="F79" s="147" t="s">
        <v>53</v>
      </c>
      <c r="G79" s="155" t="s">
        <v>470</v>
      </c>
      <c r="H79" s="147" t="s">
        <v>53</v>
      </c>
      <c r="I79" s="147" t="s">
        <v>53</v>
      </c>
      <c r="J79" s="261" t="s">
        <v>1076</v>
      </c>
      <c r="K79" s="155" t="s">
        <v>470</v>
      </c>
      <c r="L79" s="36"/>
      <c r="M79" s="542" t="s">
        <v>248</v>
      </c>
      <c r="N79" s="542"/>
      <c r="O79" s="101"/>
      <c r="P79" s="158"/>
      <c r="Q79" s="158"/>
      <c r="R79" s="157"/>
      <c r="S79" s="159"/>
      <c r="T79" s="157"/>
      <c r="U79" s="159"/>
      <c r="V79" s="157"/>
      <c r="W79" s="159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</row>
    <row r="80" spans="1:43" ht="18" customHeight="1" x14ac:dyDescent="0.25">
      <c r="A80" s="542" t="s">
        <v>466</v>
      </c>
      <c r="B80" s="542"/>
      <c r="C80" s="147" t="s">
        <v>472</v>
      </c>
      <c r="D80" s="147" t="s">
        <v>472</v>
      </c>
      <c r="E80" s="147" t="s">
        <v>472</v>
      </c>
      <c r="F80" s="155" t="s">
        <v>473</v>
      </c>
      <c r="G80" s="147" t="s">
        <v>53</v>
      </c>
      <c r="H80" s="147" t="s">
        <v>53</v>
      </c>
      <c r="I80" s="147" t="s">
        <v>53</v>
      </c>
      <c r="J80" s="147" t="s">
        <v>53</v>
      </c>
      <c r="K80" s="147" t="s">
        <v>53</v>
      </c>
      <c r="L80" s="36"/>
      <c r="M80" s="542" t="s">
        <v>247</v>
      </c>
      <c r="N80" s="542"/>
      <c r="O80" s="161" t="str">
        <f>IF(AND(General!$D$44&gt;=0,Feats!Q30=1),"Yes","No")</f>
        <v>No</v>
      </c>
      <c r="P80" s="160" t="str">
        <f>IF(AND(General!$D$44&gt;=1,Feats!Q30=1),"Yes","No")</f>
        <v>No</v>
      </c>
      <c r="Q80" s="160" t="str">
        <f>IF(AND(General!$D$44&gt;=2,Feats!Q30=1),"Yes","No")</f>
        <v>No</v>
      </c>
      <c r="R80" s="160" t="str">
        <f>IF(AND(General!$D$44&gt;=3,Feats!Q30=1),"Yes","No")</f>
        <v>No</v>
      </c>
      <c r="S80" s="160" t="str">
        <f>IF(AND(General!$D$44&gt;=3,Feats!Q30=1),"Yes","No")</f>
        <v>No</v>
      </c>
      <c r="T80" s="160" t="str">
        <f>IF(AND(General!$D$44&gt;=4,Feats!Q30=1),"Yes","No")</f>
        <v>No</v>
      </c>
      <c r="U80" s="160" t="str">
        <f>IF(AND(General!$D$44&gt;=4,Feats!Q30=1),"Yes","No")</f>
        <v>No</v>
      </c>
      <c r="V80" s="160" t="str">
        <f>IF(AND(General!$D$44&gt;=5,Feats!Q30=1),"Yes","No")</f>
        <v>No</v>
      </c>
      <c r="W80" s="161" t="str">
        <f>IF(AND(General!$D$44&gt;=5,Feats!Q30=1),"Yes","No")</f>
        <v>No</v>
      </c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</row>
    <row r="81" spans="1:43" ht="18" customHeight="1" x14ac:dyDescent="0.25">
      <c r="A81" s="691" t="s">
        <v>449</v>
      </c>
      <c r="B81" s="692"/>
      <c r="C81" s="142">
        <v>4</v>
      </c>
      <c r="D81" s="136">
        <v>3</v>
      </c>
      <c r="E81" s="136">
        <v>3</v>
      </c>
      <c r="F81" s="147" t="s">
        <v>53</v>
      </c>
      <c r="G81" s="147" t="s">
        <v>53</v>
      </c>
      <c r="H81" s="147" t="s">
        <v>53</v>
      </c>
      <c r="I81" s="155" t="s">
        <v>459</v>
      </c>
      <c r="J81" s="147" t="s">
        <v>53</v>
      </c>
      <c r="K81" s="147" t="s">
        <v>53</v>
      </c>
      <c r="L81" s="36"/>
      <c r="M81" s="691" t="s">
        <v>436</v>
      </c>
      <c r="N81" s="692"/>
      <c r="O81" s="360">
        <f>IF(General!$N$14&gt;0,General!$N$14+1,1)</f>
        <v>1</v>
      </c>
      <c r="P81" s="360">
        <f>IF(General!$N$14&gt;0,General!$N$14+1,1)</f>
        <v>1</v>
      </c>
      <c r="Q81" s="360">
        <f>IF(General!$N$14&gt;0,General!$N$14+1,1)</f>
        <v>1</v>
      </c>
      <c r="R81" s="360">
        <f>IF(General!$N$14&gt;0,General!$N$14+1,1)</f>
        <v>1</v>
      </c>
      <c r="S81" s="360">
        <f>IF(General!$N$14&gt;0,General!$N$14+1,1)</f>
        <v>1</v>
      </c>
      <c r="T81" s="360">
        <f>IF(General!$N$14&gt;0,General!$N$14+1,1)</f>
        <v>1</v>
      </c>
      <c r="U81" s="360">
        <f>IF(General!$N$14&gt;0,General!$N$14+1,1)</f>
        <v>1</v>
      </c>
      <c r="V81" s="360">
        <f>IF(General!$N$14&gt;0,General!$N$14+1,1)</f>
        <v>1</v>
      </c>
      <c r="W81" s="360">
        <f>IF(General!$N$14&gt;0,General!$N$14+1,1)</f>
        <v>1</v>
      </c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</row>
    <row r="82" spans="1:43" ht="18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542" t="s">
        <v>446</v>
      </c>
      <c r="N82" s="542"/>
      <c r="O82" s="160">
        <v>2</v>
      </c>
      <c r="P82" s="160">
        <v>2</v>
      </c>
      <c r="Q82" s="160">
        <v>3</v>
      </c>
      <c r="R82" s="161" t="s">
        <v>53</v>
      </c>
      <c r="S82" s="155" t="s">
        <v>450</v>
      </c>
      <c r="T82" s="155" t="s">
        <v>450</v>
      </c>
      <c r="U82" s="161" t="s">
        <v>53</v>
      </c>
      <c r="V82" s="161" t="s">
        <v>53</v>
      </c>
      <c r="W82" s="155" t="s">
        <v>459</v>
      </c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</row>
    <row r="83" spans="1:43" ht="18" customHeight="1" x14ac:dyDescent="0.25">
      <c r="A83" s="695" t="s">
        <v>483</v>
      </c>
      <c r="B83" s="696"/>
      <c r="C83" s="701" t="s">
        <v>437</v>
      </c>
      <c r="D83" s="701" t="s">
        <v>439</v>
      </c>
      <c r="E83" s="701" t="s">
        <v>438</v>
      </c>
      <c r="F83" s="691" t="s">
        <v>440</v>
      </c>
      <c r="G83" s="692"/>
      <c r="H83" s="691" t="s">
        <v>441</v>
      </c>
      <c r="I83" s="692"/>
      <c r="J83" s="691" t="s">
        <v>442</v>
      </c>
      <c r="K83" s="692"/>
      <c r="L83" s="36"/>
      <c r="M83" s="691" t="s">
        <v>449</v>
      </c>
      <c r="N83" s="692"/>
      <c r="O83" s="161">
        <v>4</v>
      </c>
      <c r="P83" s="161">
        <v>3</v>
      </c>
      <c r="Q83" s="161">
        <v>3</v>
      </c>
      <c r="R83" s="161" t="s">
        <v>53</v>
      </c>
      <c r="S83" s="161" t="s">
        <v>53</v>
      </c>
      <c r="T83" s="161" t="s">
        <v>53</v>
      </c>
      <c r="U83" s="155" t="s">
        <v>459</v>
      </c>
      <c r="V83" s="161">
        <v>-1</v>
      </c>
      <c r="W83" s="155" t="s">
        <v>450</v>
      </c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</row>
    <row r="84" spans="1:43" ht="18" customHeight="1" x14ac:dyDescent="0.25">
      <c r="A84" s="697"/>
      <c r="B84" s="698"/>
      <c r="C84" s="703"/>
      <c r="D84" s="703"/>
      <c r="E84" s="703"/>
      <c r="F84" s="154" t="s">
        <v>467</v>
      </c>
      <c r="G84" s="152" t="s">
        <v>466</v>
      </c>
      <c r="H84" s="154" t="s">
        <v>478</v>
      </c>
      <c r="I84" s="152" t="s">
        <v>479</v>
      </c>
      <c r="J84" s="154" t="s">
        <v>480</v>
      </c>
      <c r="K84" s="152" t="s">
        <v>481</v>
      </c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</row>
    <row r="85" spans="1:43" x14ac:dyDescent="0.25">
      <c r="A85" s="542" t="s">
        <v>248</v>
      </c>
      <c r="B85" s="542"/>
      <c r="C85" s="101"/>
      <c r="D85" s="145"/>
      <c r="E85" s="145"/>
      <c r="F85" s="143"/>
      <c r="G85" s="146"/>
      <c r="H85" s="143"/>
      <c r="I85" s="146"/>
      <c r="J85" s="143"/>
      <c r="K85" s="146"/>
      <c r="L85" s="36"/>
      <c r="M85" s="695" t="s">
        <v>773</v>
      </c>
      <c r="N85" s="696"/>
      <c r="O85" s="701" t="s">
        <v>437</v>
      </c>
      <c r="P85" s="701" t="s">
        <v>439</v>
      </c>
      <c r="Q85" s="701" t="s">
        <v>438</v>
      </c>
      <c r="R85" s="691" t="s">
        <v>440</v>
      </c>
      <c r="S85" s="692"/>
      <c r="T85" s="691" t="s">
        <v>441</v>
      </c>
      <c r="U85" s="692"/>
      <c r="V85" s="691" t="s">
        <v>442</v>
      </c>
      <c r="W85" s="692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</row>
    <row r="86" spans="1:43" ht="18" customHeight="1" x14ac:dyDescent="0.25">
      <c r="A86" s="542" t="s">
        <v>247</v>
      </c>
      <c r="B86" s="542"/>
      <c r="C86" s="147" t="str">
        <f>IF(AND(SUM(Skills!G11+Skills!H11)&gt;=3,OR('Biotic Powers'!C28="Yes",'Biotic Powers'!C39="Yes",'Biotic Powers'!C51="Yes",'Biotic Powers'!C64="Yes",'Biotic Powers'!C72="Yes",'Biotic Powers'!C83="Yes",'Biotic Powers'!C93="Yes",'Biotic Powers'!C112="Yes",'Biotic Powers'!Q113="Yes",'Biotic Powers'!Q104="Yes",'Biotic Powers'!Q82="Yes",'Biotic Powers'!Q60="Yes",'Biotic Powers'!Q50="Yes",'Biotic Powers'!Q39="Yes",'Biotic Powers'!Q29="Yes",'Biotic Powers'!Q123="Yes")),"Yes","No")</f>
        <v>No</v>
      </c>
      <c r="D86" s="144" t="str">
        <f>IF(AND(SUM(Skills!G11+Skills!H11)&gt;=5,OR('Biotic Powers'!C28="Yes",'Biotic Powers'!C39="Yes",'Biotic Powers'!C51="Yes",'Biotic Powers'!C64="Yes",'Biotic Powers'!C72="Yes",'Biotic Powers'!C83="Yes",'Biotic Powers'!C93="Yes",'Biotic Powers'!C112="Yes",'Biotic Powers'!Q113="Yes",'Biotic Powers'!Q104="Yes",'Biotic Powers'!Q82="Yes",'Biotic Powers'!Q60="Yes",'Biotic Powers'!Q50="Yes",'Biotic Powers'!Q39="Yes",'Biotic Powers'!Q29="Yes",'Biotic Powers'!Q123="Yes")),"Yes","No")</f>
        <v>No</v>
      </c>
      <c r="E86" s="144" t="str">
        <f>IF(AND(SUM(Skills!G11+Skills!H11)&gt;=7,OR('Biotic Powers'!C28="Yes",'Biotic Powers'!C39="Yes",'Biotic Powers'!C51="Yes",'Biotic Powers'!C64="Yes",'Biotic Powers'!C72="Yes",'Biotic Powers'!C83="Yes",'Biotic Powers'!C93="Yes",'Biotic Powers'!C112="Yes",'Biotic Powers'!Q113="Yes",'Biotic Powers'!Q104="Yes",'Biotic Powers'!Q82="Yes",'Biotic Powers'!Q60="Yes",'Biotic Powers'!Q50="Yes",'Biotic Powers'!Q39="Yes",'Biotic Powers'!Q29="Yes",'Biotic Powers'!Q123="Yes")),"Yes","No")</f>
        <v>No</v>
      </c>
      <c r="F86" s="144" t="str">
        <f>IF(AND(SUM(Skills!G11+Skills!H11)&gt;=9,OR('Biotic Powers'!C28="Yes",'Biotic Powers'!C39="Yes",'Biotic Powers'!C51="Yes",'Biotic Powers'!C64="Yes",'Biotic Powers'!C72="Yes",'Biotic Powers'!C83="Yes",'Biotic Powers'!C93="Yes",'Biotic Powers'!C112="Yes",'Biotic Powers'!Q113="Yes",'Biotic Powers'!Q104="Yes",'Biotic Powers'!Q82="Yes",'Biotic Powers'!Q60="Yes",'Biotic Powers'!Q50="Yes",'Biotic Powers'!Q39="Yes",'Biotic Powers'!Q29="Yes",'Biotic Powers'!Q123="Yes")),"Yes","No")</f>
        <v>No</v>
      </c>
      <c r="G86" s="144" t="str">
        <f>IF(AND(SUM(Skills!G11+Skills!H11)&gt;=9,OR('Biotic Powers'!C28="Yes",'Biotic Powers'!C39="Yes",'Biotic Powers'!C51="Yes",'Biotic Powers'!C64="Yes",'Biotic Powers'!C72="Yes",'Biotic Powers'!C83="Yes",'Biotic Powers'!C93="Yes",'Biotic Powers'!C112="Yes",'Biotic Powers'!Q113="Yes",'Biotic Powers'!Q104="Yes",'Biotic Powers'!Q82="Yes",'Biotic Powers'!Q60="Yes",'Biotic Powers'!Q50="Yes",'Biotic Powers'!Q39="Yes",'Biotic Powers'!Q29="Yes",'Biotic Powers'!Q123="Yes")),"Yes","No")</f>
        <v>No</v>
      </c>
      <c r="H86" s="144" t="str">
        <f>IF(AND(SUM(Skills!G11+Skills!H11)&gt;=11,OR('Biotic Powers'!C28="Yes",'Biotic Powers'!C39="Yes",'Biotic Powers'!C51="Yes",'Biotic Powers'!C64="Yes",'Biotic Powers'!C72="Yes",'Biotic Powers'!C83="Yes",'Biotic Powers'!C93="Yes",'Biotic Powers'!C112="Yes",'Biotic Powers'!Q113="Yes",'Biotic Powers'!Q104="Yes",'Biotic Powers'!Q82="Yes",'Biotic Powers'!Q60="Yes",'Biotic Powers'!Q50="Yes",'Biotic Powers'!Q39="Yes",'Biotic Powers'!Q29="Yes",'Biotic Powers'!Q123="Yes")),"Yes","No")</f>
        <v>No</v>
      </c>
      <c r="I86" s="144" t="str">
        <f>IF(AND(SUM(Skills!G11+Skills!H11)&gt;=11,OR('Biotic Powers'!C28="Yes",'Biotic Powers'!C39="Yes",'Biotic Powers'!C51="Yes",'Biotic Powers'!C64="Yes",'Biotic Powers'!C72="Yes",'Biotic Powers'!C83="Yes",'Biotic Powers'!C93="Yes",'Biotic Powers'!C112="Yes",'Biotic Powers'!Q113="Yes",'Biotic Powers'!Q104="Yes",'Biotic Powers'!Q82="Yes",'Biotic Powers'!Q60="Yes",'Biotic Powers'!Q50="Yes",'Biotic Powers'!Q39="Yes",'Biotic Powers'!Q29="Yes",'Biotic Powers'!Q123="Yes")),"Yes","No")</f>
        <v>No</v>
      </c>
      <c r="J86" s="144" t="str">
        <f>IF(AND(SUM(Skills!G11+Skills!H11)&gt;=13,OR('Biotic Powers'!C28="Yes",'Biotic Powers'!C39="Yes",'Biotic Powers'!C51="Yes",'Biotic Powers'!C64="Yes",'Biotic Powers'!C72="Yes",'Biotic Powers'!C83="Yes",'Biotic Powers'!C93="Yes",'Biotic Powers'!C112="Yes",'Biotic Powers'!Q113="Yes",'Biotic Powers'!Q104="Yes",'Biotic Powers'!Q82="Yes",'Biotic Powers'!Q60="Yes",'Biotic Powers'!Q50="Yes",'Biotic Powers'!Q39="Yes",'Biotic Powers'!Q29="Yes",'Biotic Powers'!Q123="Yes")),"Yes","No")</f>
        <v>No</v>
      </c>
      <c r="K86" s="147" t="str">
        <f>IF(AND(SUM(Skills!G11+Skills!H11)&gt;=13,OR('Biotic Powers'!C28="Yes",'Biotic Powers'!C39="Yes",'Biotic Powers'!C51="Yes",'Biotic Powers'!C64="Yes",'Biotic Powers'!C72="Yes",'Biotic Powers'!C83="Yes",'Biotic Powers'!C93="Yes",'Biotic Powers'!C112="Yes",'Biotic Powers'!Q113="Yes",'Biotic Powers'!Q104="Yes",'Biotic Powers'!Q82="Yes",'Biotic Powers'!Q60="Yes",'Biotic Powers'!Q50="Yes",'Biotic Powers'!Q39="Yes",'Biotic Powers'!Q29="Yes",'Biotic Powers'!Q123="Yes")),"Yes","No")</f>
        <v>No</v>
      </c>
      <c r="L86" s="36"/>
      <c r="M86" s="697"/>
      <c r="N86" s="698"/>
      <c r="O86" s="703"/>
      <c r="P86" s="703"/>
      <c r="Q86" s="703"/>
      <c r="R86" s="154" t="s">
        <v>467</v>
      </c>
      <c r="S86" s="152" t="s">
        <v>466</v>
      </c>
      <c r="T86" s="154" t="s">
        <v>478</v>
      </c>
      <c r="U86" s="152" t="s">
        <v>523</v>
      </c>
      <c r="V86" s="154" t="s">
        <v>524</v>
      </c>
      <c r="W86" s="152" t="s">
        <v>525</v>
      </c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</row>
    <row r="87" spans="1:43" ht="18" customHeight="1" x14ac:dyDescent="0.25">
      <c r="A87" s="691" t="s">
        <v>474</v>
      </c>
      <c r="B87" s="692"/>
      <c r="C87" s="147">
        <f>12+ROUNDDOWN((Skills!G11+Skills!H11)/2,0)</f>
        <v>12</v>
      </c>
      <c r="D87" s="147">
        <f>12+ROUNDDOWN((Skills!G11+Skills!H11)/2,0)</f>
        <v>12</v>
      </c>
      <c r="E87" s="147">
        <f>12+ROUNDDOWN((Skills!G11+Skills!H11)/2,0)</f>
        <v>12</v>
      </c>
      <c r="F87" s="441" t="s">
        <v>53</v>
      </c>
      <c r="G87" s="441" t="s">
        <v>53</v>
      </c>
      <c r="H87" s="441" t="s">
        <v>53</v>
      </c>
      <c r="I87" s="441" t="s">
        <v>53</v>
      </c>
      <c r="J87" s="441" t="s">
        <v>53</v>
      </c>
      <c r="K87" s="451" t="s">
        <v>517</v>
      </c>
      <c r="L87" s="36"/>
      <c r="M87" s="542" t="s">
        <v>248</v>
      </c>
      <c r="N87" s="542"/>
      <c r="O87" s="101"/>
      <c r="P87" s="158"/>
      <c r="Q87" s="158"/>
      <c r="R87" s="157"/>
      <c r="S87" s="159"/>
      <c r="T87" s="157"/>
      <c r="U87" s="159"/>
      <c r="V87" s="157"/>
      <c r="W87" s="159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</row>
    <row r="88" spans="1:43" ht="18" customHeight="1" x14ac:dyDescent="0.25">
      <c r="A88" s="691" t="s">
        <v>467</v>
      </c>
      <c r="B88" s="692"/>
      <c r="C88" s="144" t="s">
        <v>475</v>
      </c>
      <c r="D88" s="144" t="s">
        <v>475</v>
      </c>
      <c r="E88" s="144" t="s">
        <v>477</v>
      </c>
      <c r="F88" s="155" t="s">
        <v>470</v>
      </c>
      <c r="G88" s="147" t="s">
        <v>53</v>
      </c>
      <c r="H88" s="147" t="s">
        <v>53</v>
      </c>
      <c r="I88" s="147" t="s">
        <v>53</v>
      </c>
      <c r="J88" s="155" t="s">
        <v>470</v>
      </c>
      <c r="K88" s="147" t="s">
        <v>53</v>
      </c>
      <c r="L88" s="36"/>
      <c r="M88" s="542" t="s">
        <v>247</v>
      </c>
      <c r="N88" s="542"/>
      <c r="O88" s="161" t="str">
        <f>IF(SUM(Skills!$G$56+Skills!$H$56)&gt;=2,"Yes","No")</f>
        <v>No</v>
      </c>
      <c r="P88" s="160" t="str">
        <f>IF(SUM(Skills!$G$56+Skills!$H$56)&gt;=4,"Yes","No")</f>
        <v>No</v>
      </c>
      <c r="Q88" s="160" t="str">
        <f>IF(SUM(Skills!$G$56+Skills!$H$56)&gt;=6,"Yes","No")</f>
        <v>No</v>
      </c>
      <c r="R88" s="160" t="str">
        <f>IF(SUM(Skills!$G$56+Skills!$H$56)&gt;=8,"Yes","No")</f>
        <v>No</v>
      </c>
      <c r="S88" s="160" t="str">
        <f>IF(SUM(Skills!$G$56+Skills!$H$56)&gt;=8,"Yes","No")</f>
        <v>No</v>
      </c>
      <c r="T88" s="160" t="str">
        <f>IF(SUM(Skills!$G$56+Skills!$H$56)&gt;=10,"Yes","No")</f>
        <v>No</v>
      </c>
      <c r="U88" s="160" t="str">
        <f>IF(SUM(Skills!$G$56+Skills!$H$56)&gt;=10,"Yes","No")</f>
        <v>No</v>
      </c>
      <c r="V88" s="160" t="str">
        <f>IF(SUM(Skills!$G$56+Skills!$H$56)&gt;=12,"Yes","No")</f>
        <v>No</v>
      </c>
      <c r="W88" s="161" t="str">
        <f>IF(SUM(Skills!$G$56+Skills!$H$56)&gt;=12,"Yes","No")</f>
        <v>No</v>
      </c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</row>
    <row r="89" spans="1:43" ht="18" customHeight="1" x14ac:dyDescent="0.25">
      <c r="A89" s="542" t="s">
        <v>471</v>
      </c>
      <c r="B89" s="542"/>
      <c r="C89" s="147">
        <v>15</v>
      </c>
      <c r="D89" s="147">
        <v>15</v>
      </c>
      <c r="E89" s="147">
        <v>15</v>
      </c>
      <c r="F89" s="147" t="s">
        <v>53</v>
      </c>
      <c r="G89" s="155" t="s">
        <v>482</v>
      </c>
      <c r="H89" s="147" t="s">
        <v>53</v>
      </c>
      <c r="I89" s="147" t="s">
        <v>53</v>
      </c>
      <c r="J89" s="155" t="s">
        <v>482</v>
      </c>
      <c r="K89" s="147" t="s">
        <v>53</v>
      </c>
      <c r="L89" s="36"/>
      <c r="M89" s="691" t="s">
        <v>463</v>
      </c>
      <c r="N89" s="692"/>
      <c r="O89" s="161" t="s">
        <v>477</v>
      </c>
      <c r="P89" s="161" t="s">
        <v>53</v>
      </c>
      <c r="Q89" s="161" t="s">
        <v>522</v>
      </c>
      <c r="R89" s="155" t="s">
        <v>470</v>
      </c>
      <c r="S89" s="161" t="s">
        <v>53</v>
      </c>
      <c r="T89" s="161" t="s">
        <v>53</v>
      </c>
      <c r="U89" s="161" t="s">
        <v>53</v>
      </c>
      <c r="V89" s="161" t="s">
        <v>53</v>
      </c>
      <c r="W89" s="161" t="s">
        <v>53</v>
      </c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</row>
    <row r="90" spans="1:43" ht="18" customHeight="1" x14ac:dyDescent="0.25">
      <c r="A90" s="691" t="s">
        <v>476</v>
      </c>
      <c r="B90" s="692"/>
      <c r="C90" s="147">
        <v>10</v>
      </c>
      <c r="D90" s="144">
        <v>10</v>
      </c>
      <c r="E90" s="144">
        <v>10</v>
      </c>
      <c r="F90" s="147" t="s">
        <v>53</v>
      </c>
      <c r="G90" s="147" t="s">
        <v>53</v>
      </c>
      <c r="H90" s="147" t="s">
        <v>53</v>
      </c>
      <c r="I90" s="147" t="s">
        <v>53</v>
      </c>
      <c r="J90" s="147" t="s">
        <v>53</v>
      </c>
      <c r="K90" s="147" t="s">
        <v>53</v>
      </c>
      <c r="L90" s="36"/>
      <c r="M90" s="542" t="s">
        <v>471</v>
      </c>
      <c r="N90" s="542"/>
      <c r="O90" s="160">
        <v>20</v>
      </c>
      <c r="P90" s="161" t="s">
        <v>53</v>
      </c>
      <c r="Q90" s="160">
        <v>20</v>
      </c>
      <c r="R90" s="161" t="s">
        <v>53</v>
      </c>
      <c r="S90" s="155" t="s">
        <v>482</v>
      </c>
      <c r="T90" s="161" t="s">
        <v>53</v>
      </c>
      <c r="U90" s="161" t="s">
        <v>53</v>
      </c>
      <c r="V90" s="161" t="s">
        <v>53</v>
      </c>
      <c r="W90" s="161" t="s">
        <v>53</v>
      </c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</row>
    <row r="91" spans="1:43" ht="18" customHeight="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</row>
    <row r="92" spans="1:43" x14ac:dyDescent="0.25">
      <c r="A92" s="695" t="s">
        <v>484</v>
      </c>
      <c r="B92" s="696"/>
      <c r="C92" s="701" t="s">
        <v>437</v>
      </c>
      <c r="D92" s="701" t="s">
        <v>439</v>
      </c>
      <c r="E92" s="701" t="s">
        <v>438</v>
      </c>
      <c r="F92" s="691" t="s">
        <v>440</v>
      </c>
      <c r="G92" s="692"/>
      <c r="H92" s="691" t="s">
        <v>441</v>
      </c>
      <c r="I92" s="692"/>
      <c r="J92" s="691" t="s">
        <v>442</v>
      </c>
      <c r="K92" s="692"/>
      <c r="L92" s="36"/>
      <c r="M92" s="695" t="s">
        <v>530</v>
      </c>
      <c r="N92" s="696"/>
      <c r="O92" s="701" t="s">
        <v>437</v>
      </c>
      <c r="P92" s="701" t="s">
        <v>439</v>
      </c>
      <c r="Q92" s="701" t="s">
        <v>438</v>
      </c>
      <c r="R92" s="691" t="s">
        <v>440</v>
      </c>
      <c r="S92" s="692"/>
      <c r="T92" s="691" t="s">
        <v>441</v>
      </c>
      <c r="U92" s="692"/>
      <c r="V92" s="691" t="s">
        <v>442</v>
      </c>
      <c r="W92" s="692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</row>
    <row r="93" spans="1:43" ht="18" customHeight="1" x14ac:dyDescent="0.25">
      <c r="A93" s="697"/>
      <c r="B93" s="698"/>
      <c r="C93" s="703"/>
      <c r="D93" s="703"/>
      <c r="E93" s="703"/>
      <c r="F93" s="154" t="s">
        <v>485</v>
      </c>
      <c r="G93" s="152" t="s">
        <v>466</v>
      </c>
      <c r="H93" s="151" t="s">
        <v>486</v>
      </c>
      <c r="I93" s="152" t="s">
        <v>453</v>
      </c>
      <c r="J93" s="154" t="s">
        <v>487</v>
      </c>
      <c r="K93" s="152" t="s">
        <v>488</v>
      </c>
      <c r="L93" s="36"/>
      <c r="M93" s="699"/>
      <c r="N93" s="700"/>
      <c r="O93" s="702"/>
      <c r="P93" s="702"/>
      <c r="Q93" s="702"/>
      <c r="R93" s="704" t="s">
        <v>467</v>
      </c>
      <c r="S93" s="704" t="s">
        <v>466</v>
      </c>
      <c r="T93" s="704" t="s">
        <v>478</v>
      </c>
      <c r="U93" s="704" t="s">
        <v>524</v>
      </c>
      <c r="V93" s="704" t="s">
        <v>467</v>
      </c>
      <c r="W93" s="704" t="s">
        <v>527</v>
      </c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</row>
    <row r="94" spans="1:43" ht="18" customHeight="1" x14ac:dyDescent="0.25">
      <c r="A94" s="542" t="s">
        <v>248</v>
      </c>
      <c r="B94" s="542"/>
      <c r="C94" s="101"/>
      <c r="D94" s="145"/>
      <c r="E94" s="145"/>
      <c r="F94" s="143"/>
      <c r="G94" s="146"/>
      <c r="H94" s="143"/>
      <c r="I94" s="146"/>
      <c r="J94" s="143"/>
      <c r="K94" s="146"/>
      <c r="L94" s="36"/>
      <c r="M94" s="697"/>
      <c r="N94" s="698"/>
      <c r="O94" s="703"/>
      <c r="P94" s="703"/>
      <c r="Q94" s="703"/>
      <c r="R94" s="705"/>
      <c r="S94" s="705"/>
      <c r="T94" s="705"/>
      <c r="U94" s="705"/>
      <c r="V94" s="705"/>
      <c r="W94" s="705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 ht="18" customHeight="1" x14ac:dyDescent="0.25">
      <c r="A95" s="542" t="s">
        <v>247</v>
      </c>
      <c r="B95" s="542"/>
      <c r="C95" s="147" t="str">
        <f>IF(AND(General!$D$44&gt;=0,SUM(Skills!G19+Skills!H19)&gt;=1),"Yes","No")</f>
        <v>No</v>
      </c>
      <c r="D95" s="144" t="str">
        <f>IF(AND(General!$D$44&gt;=1,SUM(Skills!G19+Skills!H19)&gt;=3),"Yes","No")</f>
        <v>No</v>
      </c>
      <c r="E95" s="144" t="str">
        <f>IF(AND(General!$D$44&gt;=2,SUM(Skills!G19+Skills!H19)&gt;=5),"Yes","No")</f>
        <v>No</v>
      </c>
      <c r="F95" s="144" t="str">
        <f>IF(AND(General!$D$44&gt;=3,SUM(Skills!G19+Skills!H19)&gt;=7),"Yes","No")</f>
        <v>No</v>
      </c>
      <c r="G95" s="144" t="str">
        <f>IF(AND(General!$D$44&gt;=3,SUM(Skills!G19+Skills!H19)&gt;=7),"Yes","No")</f>
        <v>No</v>
      </c>
      <c r="H95" s="144" t="str">
        <f>IF(AND(General!$D$44&gt;=4,SUM(Skills!G19+Skills!H19)&gt;=9),"Yes","No")</f>
        <v>No</v>
      </c>
      <c r="I95" s="144" t="str">
        <f>IF(AND(General!$D$44&gt;=4,SUM(Skills!G19+Skills!H19)&gt;=9),"Yes","No")</f>
        <v>No</v>
      </c>
      <c r="J95" s="144" t="str">
        <f>IF(AND(General!$D$44&gt;=5,SUM(Skills!G19+Skills!H19)&gt;=11),"Yes","No")</f>
        <v>No</v>
      </c>
      <c r="K95" s="147" t="str">
        <f>IF(AND(General!$D$44&gt;=5,SUM(Skills!G19+Skills!H19)&gt;=11),"Yes","No")</f>
        <v>No</v>
      </c>
      <c r="L95" s="36"/>
      <c r="M95" s="542" t="s">
        <v>248</v>
      </c>
      <c r="N95" s="542"/>
      <c r="O95" s="101"/>
      <c r="P95" s="158"/>
      <c r="Q95" s="158"/>
      <c r="R95" s="157"/>
      <c r="S95" s="159"/>
      <c r="T95" s="157"/>
      <c r="U95" s="159"/>
      <c r="V95" s="157"/>
      <c r="W95" s="159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</row>
    <row r="96" spans="1:43" ht="18" customHeight="1" x14ac:dyDescent="0.25">
      <c r="A96" s="691" t="s">
        <v>436</v>
      </c>
      <c r="B96" s="692"/>
      <c r="C96" s="360">
        <f>IF(General!$N$14&gt;0,General!$N$14+1,1)</f>
        <v>1</v>
      </c>
      <c r="D96" s="360">
        <f>IF(General!$N$14&gt;0,General!$N$14+1,1)</f>
        <v>1</v>
      </c>
      <c r="E96" s="360">
        <f>IF(General!$N$14&gt;0,General!$N$14+1,1)</f>
        <v>1</v>
      </c>
      <c r="F96" s="360">
        <f>IF(General!$N$14&gt;0,General!$N$14+1,1)</f>
        <v>1</v>
      </c>
      <c r="G96" s="360">
        <f>IF(General!$N$14&gt;0,General!$N$14+1,1)</f>
        <v>1</v>
      </c>
      <c r="H96" s="360">
        <f>IF(General!$N$14&gt;0,General!$N$14+1,1)</f>
        <v>1</v>
      </c>
      <c r="I96" s="360">
        <f>IF(General!$N$14&gt;0,General!$N$14+1,1)</f>
        <v>1</v>
      </c>
      <c r="J96" s="360">
        <f>IF(General!$N$14&gt;0,General!$N$14+1,1)</f>
        <v>1</v>
      </c>
      <c r="K96" s="360">
        <f>IF(General!$N$14&gt;0,General!$N$14+1,1)</f>
        <v>1</v>
      </c>
      <c r="L96" s="36"/>
      <c r="M96" s="691" t="s">
        <v>247</v>
      </c>
      <c r="N96" s="692"/>
      <c r="O96" s="161" t="str">
        <f>IF(AND(SUM(Skills!G19+Skills!H19)&gt;=2,OR('Tech Powers'!C8="Yes",'Tech Powers'!C17="Yes",'Tech Powers'!C27="Yes",'Tech Powers'!C39="Yes",'Tech Powers'!C50="Yes",'Tech Powers'!C61="Yes",'Tech Powers'!C72="Yes",'Tech Powers'!C99="Yes",'Tech Powers'!C124="Yes",'Tech Powers'!Q112="Yes",'Tech Powers'!Q86="Yes",'Tech Powers'!Q77="Yes",'Tech Powers'!Q65="Yes",'Tech Powers'!Q51="Yes",'Tech Powers'!Q39="Yes",'Tech Powers'!Q30="Yes",'Tech Powers'!Q19="Yes",'Tech Powers'!Q8="Yes",'Tech Powers'!C82="Yes")),"Yes","No")</f>
        <v>No</v>
      </c>
      <c r="P96" s="160" t="str">
        <f>IF(AND(SUM(Skills!G19+Skills!H19)&gt;=4,OR('Tech Powers'!C8="Yes",'Tech Powers'!C17="Yes",'Tech Powers'!C27="Yes",'Tech Powers'!C39="Yes",'Tech Powers'!C50="Yes",'Tech Powers'!C61="Yes",'Tech Powers'!C72="Yes",'Tech Powers'!C99="Yes",'Tech Powers'!C124="Yes",'Tech Powers'!Q112="Yes",'Tech Powers'!Q86="Yes",'Tech Powers'!Q77="Yes",'Tech Powers'!Q65="Yes",'Tech Powers'!Q51="Yes",'Tech Powers'!Q39="Yes",'Tech Powers'!Q30="Yes",'Tech Powers'!Q19="Yes",'Tech Powers'!Q8="Yes",'Tech Powers'!C82="Yes")),"Yes","No")</f>
        <v>No</v>
      </c>
      <c r="Q96" s="160" t="str">
        <f>IF(AND(SUM(Skills!G19+Skills!H19)&gt;=6,OR('Tech Powers'!C8="Yes",'Tech Powers'!C17="Yes",'Tech Powers'!C27="Yes",'Tech Powers'!C39="Yes",'Tech Powers'!C50="Yes",'Tech Powers'!C61="Yes",'Tech Powers'!C72="Yes",'Tech Powers'!C99="Yes",'Tech Powers'!C124="Yes",'Tech Powers'!Q112="Yes",'Tech Powers'!Q86="Yes",'Tech Powers'!Q77="Yes",'Tech Powers'!Q65="Yes",'Tech Powers'!Q51="Yes",'Tech Powers'!Q39="Yes",'Tech Powers'!Q30="Yes",'Tech Powers'!Q19="Yes",'Tech Powers'!Q8="Yes",'Tech Powers'!C82="Yes")),"Yes","No")</f>
        <v>No</v>
      </c>
      <c r="R96" s="160" t="str">
        <f>IF(AND(SUM(Skills!G19+Skills!H19)&gt;=8,OR('Tech Powers'!C8="Yes",'Tech Powers'!C17="Yes",'Tech Powers'!C27="Yes",'Tech Powers'!C39="Yes",'Tech Powers'!C50="Yes",'Tech Powers'!C61="Yes",'Tech Powers'!C72="Yes",'Tech Powers'!C99="Yes",'Tech Powers'!C124="Yes",'Tech Powers'!Q112="Yes",'Tech Powers'!Q86="Yes",'Tech Powers'!Q77="Yes",'Tech Powers'!Q65="Yes",'Tech Powers'!Q51="Yes",'Tech Powers'!Q39="Yes",'Tech Powers'!Q30="Yes",'Tech Powers'!Q19="Yes",'Tech Powers'!Q8="Yes",'Tech Powers'!C82="Yes")),"Yes","No")</f>
        <v>No</v>
      </c>
      <c r="S96" s="160" t="str">
        <f>IF(AND(SUM(Skills!G19+Skills!H19)&gt;=8,OR('Tech Powers'!C8="Yes",'Tech Powers'!C17="Yes",'Tech Powers'!C27="Yes",'Tech Powers'!C39="Yes",'Tech Powers'!C50="Yes",'Tech Powers'!C61="Yes",'Tech Powers'!C72="Yes",'Tech Powers'!C99="Yes",'Tech Powers'!C124="Yes",'Tech Powers'!Q112="Yes",'Tech Powers'!Q86="Yes",'Tech Powers'!Q77="Yes",'Tech Powers'!Q65="Yes",'Tech Powers'!Q51="Yes",'Tech Powers'!Q39="Yes",'Tech Powers'!Q30="Yes",'Tech Powers'!Q19="Yes",'Tech Powers'!Q8="Yes",'Tech Powers'!C82="Yes")),"Yes","No")</f>
        <v>No</v>
      </c>
      <c r="T96" s="160" t="str">
        <f>IF(AND(SUM(Skills!G19+Skills!H19)&gt;=10,OR('Tech Powers'!C8="Yes",'Tech Powers'!C17="Yes",'Tech Powers'!C27="Yes",'Tech Powers'!C39="Yes",'Tech Powers'!C50="Yes",'Tech Powers'!C61="Yes",'Tech Powers'!C72="Yes",'Tech Powers'!C99="Yes",'Tech Powers'!C124="Yes",'Tech Powers'!Q112="Yes",'Tech Powers'!Q86="Yes",'Tech Powers'!Q77="Yes",'Tech Powers'!Q65="Yes",'Tech Powers'!Q51="Yes",'Tech Powers'!Q39="Yes",'Tech Powers'!Q30="Yes",'Tech Powers'!Q19="Yes",'Tech Powers'!Q8="Yes",'Tech Powers'!C82="Yes")),"Yes","No")</f>
        <v>No</v>
      </c>
      <c r="U96" s="160" t="str">
        <f>IF(AND(SUM(Skills!G19+Skills!H19)&gt;=10,OR('Tech Powers'!C8="Yes",'Tech Powers'!C17="Yes",'Tech Powers'!C27="Yes",'Tech Powers'!C39="Yes",'Tech Powers'!C50="Yes",'Tech Powers'!C61="Yes",'Tech Powers'!C72="Yes",'Tech Powers'!C99="Yes",'Tech Powers'!C124="Yes",'Tech Powers'!Q112="Yes",'Tech Powers'!Q86="Yes",'Tech Powers'!Q77="Yes",'Tech Powers'!Q65="Yes",'Tech Powers'!Q51="Yes",'Tech Powers'!Q39="Yes",'Tech Powers'!Q30="Yes",'Tech Powers'!Q19="Yes",'Tech Powers'!Q8="Yes",'Tech Powers'!C82="Yes")),"Yes","No")</f>
        <v>No</v>
      </c>
      <c r="V96" s="160" t="str">
        <f>IF(AND(SUM(Skills!G19+Skills!H19)&gt;=12,OR('Tech Powers'!C8="Yes",'Tech Powers'!C17="Yes",'Tech Powers'!C27="Yes",'Tech Powers'!C39="Yes",'Tech Powers'!C50="Yes",'Tech Powers'!C61="Yes",'Tech Powers'!C72="Yes",'Tech Powers'!C99="Yes",'Tech Powers'!C124="Yes",'Tech Powers'!Q112="Yes",'Tech Powers'!Q86="Yes",'Tech Powers'!Q77="Yes",'Tech Powers'!Q65="Yes",'Tech Powers'!Q51="Yes",'Tech Powers'!Q39="Yes",'Tech Powers'!Q30="Yes",'Tech Powers'!Q19="Yes",'Tech Powers'!Q8="Yes",'Tech Powers'!C82="Yes")),"Yes","No")</f>
        <v>No</v>
      </c>
      <c r="W96" s="161" t="str">
        <f>IF(AND(SUM(Skills!G19+Skills!H19)&gt;=12,OR('Tech Powers'!C8="Yes",'Tech Powers'!C17="Yes",'Tech Powers'!C27="Yes",'Tech Powers'!C39="Yes",'Tech Powers'!C50="Yes",'Tech Powers'!C61="Yes",'Tech Powers'!C72="Yes",'Tech Powers'!C99="Yes",'Tech Powers'!C124="Yes",'Tech Powers'!Q112="Yes",'Tech Powers'!Q86="Yes",'Tech Powers'!Q77="Yes",'Tech Powers'!Q65="Yes",'Tech Powers'!Q51="Yes",'Tech Powers'!Q39="Yes",'Tech Powers'!Q30="Yes",'Tech Powers'!Q19="Yes",'Tech Powers'!Q8="Yes",'Tech Powers'!C82="Yes")),"Yes","No")</f>
        <v>No</v>
      </c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</row>
    <row r="97" spans="1:43" ht="18" customHeight="1" x14ac:dyDescent="0.25">
      <c r="A97" s="691" t="s">
        <v>474</v>
      </c>
      <c r="B97" s="692"/>
      <c r="C97" s="147">
        <f>12+ROUNDDOWN((Skills!G19+Skills!H19)/2,0)</f>
        <v>12</v>
      </c>
      <c r="D97" s="147">
        <f>12+ROUNDDOWN((Skills!G19+Skills!H19)/2,0)</f>
        <v>12</v>
      </c>
      <c r="E97" s="147">
        <f>12+ROUNDDOWN((Skills!G19+Skills!H19)/2,0)</f>
        <v>12</v>
      </c>
      <c r="F97" s="441" t="s">
        <v>53</v>
      </c>
      <c r="G97" s="441" t="s">
        <v>53</v>
      </c>
      <c r="H97" s="441" t="s">
        <v>53</v>
      </c>
      <c r="I97" s="441" t="s">
        <v>53</v>
      </c>
      <c r="J97" s="441" t="s">
        <v>53</v>
      </c>
      <c r="K97" s="441" t="s">
        <v>53</v>
      </c>
      <c r="L97" s="36"/>
      <c r="M97" s="691" t="s">
        <v>463</v>
      </c>
      <c r="N97" s="692"/>
      <c r="O97" s="161" t="s">
        <v>522</v>
      </c>
      <c r="P97" s="161" t="s">
        <v>53</v>
      </c>
      <c r="Q97" s="161" t="s">
        <v>528</v>
      </c>
      <c r="R97" s="155" t="s">
        <v>470</v>
      </c>
      <c r="S97" s="161" t="s">
        <v>53</v>
      </c>
      <c r="T97" s="161" t="s">
        <v>53</v>
      </c>
      <c r="U97" s="161" t="s">
        <v>53</v>
      </c>
      <c r="V97" s="155" t="s">
        <v>470</v>
      </c>
      <c r="W97" s="161" t="s">
        <v>53</v>
      </c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</row>
    <row r="98" spans="1:43" ht="18" customHeight="1" x14ac:dyDescent="0.25">
      <c r="A98" s="542" t="s">
        <v>489</v>
      </c>
      <c r="B98" s="542"/>
      <c r="C98" s="147" t="s">
        <v>490</v>
      </c>
      <c r="D98" s="147" t="s">
        <v>490</v>
      </c>
      <c r="E98" s="147" t="s">
        <v>491</v>
      </c>
      <c r="F98" s="155" t="s">
        <v>492</v>
      </c>
      <c r="G98" s="147" t="s">
        <v>53</v>
      </c>
      <c r="H98" s="261" t="s">
        <v>1076</v>
      </c>
      <c r="I98" s="147" t="s">
        <v>53</v>
      </c>
      <c r="J98" s="261" t="s">
        <v>1076</v>
      </c>
      <c r="K98" s="155" t="s">
        <v>493</v>
      </c>
      <c r="L98" s="36"/>
      <c r="M98" s="691" t="s">
        <v>471</v>
      </c>
      <c r="N98" s="692"/>
      <c r="O98" s="160">
        <v>5</v>
      </c>
      <c r="P98" s="161" t="s">
        <v>53</v>
      </c>
      <c r="Q98" s="160">
        <v>5</v>
      </c>
      <c r="R98" s="161" t="s">
        <v>53</v>
      </c>
      <c r="S98" s="155" t="s">
        <v>482</v>
      </c>
      <c r="T98" s="161" t="s">
        <v>53</v>
      </c>
      <c r="U98" s="161" t="s">
        <v>53</v>
      </c>
      <c r="V98" s="161" t="s">
        <v>53</v>
      </c>
      <c r="W98" s="155" t="s">
        <v>529</v>
      </c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</row>
    <row r="99" spans="1:43" ht="18" customHeight="1" x14ac:dyDescent="0.25">
      <c r="A99" s="691" t="s">
        <v>449</v>
      </c>
      <c r="B99" s="692"/>
      <c r="C99" s="147">
        <v>3</v>
      </c>
      <c r="D99" s="144">
        <v>2</v>
      </c>
      <c r="E99" s="144">
        <v>2</v>
      </c>
      <c r="F99" s="147" t="s">
        <v>53</v>
      </c>
      <c r="G99" s="147" t="s">
        <v>53</v>
      </c>
      <c r="H99" s="147" t="s">
        <v>53</v>
      </c>
      <c r="I99" s="155" t="s">
        <v>459</v>
      </c>
      <c r="J99" s="147" t="s">
        <v>53</v>
      </c>
      <c r="K99" s="147" t="s">
        <v>53</v>
      </c>
      <c r="L99" s="36"/>
      <c r="M99" s="691" t="s">
        <v>526</v>
      </c>
      <c r="N99" s="692"/>
      <c r="O99" s="160" t="s">
        <v>251</v>
      </c>
      <c r="P99" s="160" t="s">
        <v>251</v>
      </c>
      <c r="Q99" s="160" t="s">
        <v>251</v>
      </c>
      <c r="R99" s="160" t="s">
        <v>251</v>
      </c>
      <c r="S99" s="160" t="s">
        <v>251</v>
      </c>
      <c r="T99" s="160" t="s">
        <v>251</v>
      </c>
      <c r="U99" s="160" t="s">
        <v>251</v>
      </c>
      <c r="V99" s="160" t="s">
        <v>251</v>
      </c>
      <c r="W99" s="161" t="s">
        <v>252</v>
      </c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</row>
    <row r="100" spans="1:43" ht="18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</row>
    <row r="101" spans="1:43" ht="15" customHeight="1" x14ac:dyDescent="0.25">
      <c r="A101" s="695" t="s">
        <v>1042</v>
      </c>
      <c r="B101" s="696"/>
      <c r="C101" s="701" t="s">
        <v>437</v>
      </c>
      <c r="D101" s="701" t="s">
        <v>439</v>
      </c>
      <c r="E101" s="701" t="s">
        <v>438</v>
      </c>
      <c r="F101" s="710" t="s">
        <v>440</v>
      </c>
      <c r="G101" s="711"/>
      <c r="H101" s="691" t="s">
        <v>441</v>
      </c>
      <c r="I101" s="692"/>
      <c r="J101" s="691" t="s">
        <v>442</v>
      </c>
      <c r="K101" s="692"/>
      <c r="L101" s="36"/>
      <c r="M101" s="695" t="s">
        <v>1733</v>
      </c>
      <c r="N101" s="696"/>
      <c r="O101" s="542" t="s">
        <v>437</v>
      </c>
      <c r="P101" s="701" t="s">
        <v>439</v>
      </c>
      <c r="Q101" s="701" t="s">
        <v>438</v>
      </c>
      <c r="R101" s="691" t="s">
        <v>440</v>
      </c>
      <c r="S101" s="692"/>
      <c r="T101" s="691" t="s">
        <v>441</v>
      </c>
      <c r="U101" s="692"/>
      <c r="V101" s="691" t="s">
        <v>442</v>
      </c>
      <c r="W101" s="692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</row>
    <row r="102" spans="1:43" ht="30" x14ac:dyDescent="0.25">
      <c r="A102" s="697"/>
      <c r="B102" s="698"/>
      <c r="C102" s="703"/>
      <c r="D102" s="703"/>
      <c r="E102" s="703"/>
      <c r="F102" s="712"/>
      <c r="G102" s="713"/>
      <c r="H102" s="154" t="s">
        <v>478</v>
      </c>
      <c r="I102" s="152" t="s">
        <v>1044</v>
      </c>
      <c r="J102" s="154" t="s">
        <v>1045</v>
      </c>
      <c r="K102" s="152" t="s">
        <v>1046</v>
      </c>
      <c r="L102" s="36"/>
      <c r="M102" s="699"/>
      <c r="N102" s="700"/>
      <c r="O102" s="542"/>
      <c r="P102" s="702"/>
      <c r="Q102" s="702"/>
      <c r="R102" s="449" t="s">
        <v>1734</v>
      </c>
      <c r="S102" s="449" t="s">
        <v>1723</v>
      </c>
      <c r="T102" s="449" t="s">
        <v>480</v>
      </c>
      <c r="U102" s="449" t="s">
        <v>721</v>
      </c>
      <c r="V102" s="449" t="s">
        <v>1735</v>
      </c>
      <c r="W102" s="449" t="s">
        <v>1736</v>
      </c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</row>
    <row r="103" spans="1:43" ht="18" customHeight="1" x14ac:dyDescent="0.25">
      <c r="A103" s="542" t="s">
        <v>248</v>
      </c>
      <c r="B103" s="542"/>
      <c r="C103" s="101"/>
      <c r="D103" s="258"/>
      <c r="E103" s="258"/>
      <c r="F103" s="708"/>
      <c r="G103" s="709"/>
      <c r="H103" s="256"/>
      <c r="I103" s="259"/>
      <c r="J103" s="256"/>
      <c r="K103" s="259"/>
      <c r="L103" s="36"/>
      <c r="M103" s="542" t="s">
        <v>248</v>
      </c>
      <c r="N103" s="542"/>
      <c r="O103" s="101"/>
      <c r="P103" s="447"/>
      <c r="Q103" s="447"/>
      <c r="R103" s="443"/>
      <c r="S103" s="448"/>
      <c r="T103" s="443"/>
      <c r="U103" s="448"/>
      <c r="V103" s="443"/>
      <c r="W103" s="448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</row>
    <row r="104" spans="1:43" ht="18" customHeight="1" x14ac:dyDescent="0.25">
      <c r="A104" s="542" t="s">
        <v>247</v>
      </c>
      <c r="B104" s="542"/>
      <c r="C104" s="255" t="str">
        <f>IF(AND(SUM(Skills!$G$56+Skills!$H$56)&gt;=8,SUM(Skills!$G$19+Skills!$H$19)&gt;=8,SUM(Skills!$G$15+Skills!$H$15)&gt;=4,SUM(Skills!$G$16+Skills!$H$16)&gt;=4),"Yes","No")</f>
        <v>No</v>
      </c>
      <c r="D104" s="261" t="str">
        <f>IF(AND(SUM(Skills!$G$56+Skills!$H$56)&gt;=10,SUM(Skills!$G$19+Skills!$H$19)&gt;=10,SUM(Skills!$G$15+Skills!$H$15)&gt;=6,SUM(Skills!$G$16+Skills!$H$16)&gt;=6),"Yes","No")</f>
        <v>No</v>
      </c>
      <c r="E104" s="261" t="str">
        <f>IF(AND(SUM(Skills!$G$56+Skills!$H$56)&gt;=12,SUM(Skills!$G$19+Skills!$H$19)&gt;=12,SUM(Skills!$G$15+Skills!$H$15)&gt;=8,SUM(Skills!$G$16+Skills!$H$16)&gt;=8),"Yes","No")</f>
        <v>No</v>
      </c>
      <c r="F104" s="469" t="str">
        <f>IF(AND(SUM(Skills!$G$56+Skills!$H$56)&gt;=14,SUM(Skills!$G$19+Skills!$H$19)&gt;=14,SUM(Skills!$G$15+Skills!$H$15)&gt;=10,SUM(Skills!$G$16+Skills!$H$16)&gt;=10),"Yes","No")</f>
        <v>No</v>
      </c>
      <c r="G104" s="470"/>
      <c r="H104" s="261" t="str">
        <f>IF(AND(SUM(Skills!$G$56+Skills!$H$56)&gt;=16,SUM(Skills!$G$19+Skills!$H$19)&gt;=16,SUM(Skills!$G$15+Skills!$H$15)&gt;=12,SUM(Skills!$G$16+Skills!$H$16)&gt;=12),"Yes","No")</f>
        <v>No</v>
      </c>
      <c r="I104" s="261" t="str">
        <f>IF(AND(SUM(Skills!$G$56+Skills!$H$56)&gt;=16,SUM(Skills!$G$19+Skills!$H$19)&gt;=16,SUM(Skills!$G$15+Skills!$H$15)&gt;=12,SUM(Skills!$G$16+Skills!$H$16)&gt;=12),"Yes","No")</f>
        <v>No</v>
      </c>
      <c r="J104" s="261" t="str">
        <f>IF(AND(SUM(Skills!$G$56+Skills!$H$56)&gt;=18,SUM(Skills!$G$19+Skills!$H$19)&gt;=18,SUM(Skills!$G$15+Skills!$H$15)&gt;=14,SUM(Skills!$G$16+Skills!$H$16)&gt;=14),"Yes","No")</f>
        <v>No</v>
      </c>
      <c r="K104" s="261" t="str">
        <f>IF(AND(SUM(Skills!$G$56+Skills!$H$56)&gt;=8,SUM(Skills!$G$19+Skills!$H$19)&gt;=8,SUM(Skills!$G$15+Skills!$H$15)&gt;=4,SUM(Skills!$G$16+Skills!$H$16)&gt;=4),"Yes","No")</f>
        <v>No</v>
      </c>
      <c r="L104" s="36"/>
      <c r="M104" s="691" t="s">
        <v>247</v>
      </c>
      <c r="N104" s="692"/>
      <c r="O104" s="441" t="str">
        <f>IF(SUM(Skills!G56+Skills!H56)&gt;=6,"Yes","No")</f>
        <v>No</v>
      </c>
      <c r="P104" s="442" t="str">
        <f>IF(SUM(Skills!G56+Skills!H56)&gt;=8,"Yes","No")</f>
        <v>No</v>
      </c>
      <c r="Q104" s="442" t="str">
        <f>IF(SUM(Skills!G56+Skills!H56)&gt;=10,"Yes","No")</f>
        <v>No</v>
      </c>
      <c r="R104" s="442" t="str">
        <f>IF(SUM(Skills!G56+Skills!H56)&gt;=12,"Yes","No")</f>
        <v>No</v>
      </c>
      <c r="S104" s="442" t="str">
        <f>IF(SUM(Skills!G56+Skills!H56)&gt;=12,"Yes","No")</f>
        <v>No</v>
      </c>
      <c r="T104" s="442" t="str">
        <f>IF(SUM(Skills!G56+Skills!H56)&gt;=14,"Yes","No")</f>
        <v>No</v>
      </c>
      <c r="U104" s="442" t="str">
        <f>IF(SUM(Skills!G56+Skills!H56)&gt;=14,"Yes","No")</f>
        <v>No</v>
      </c>
      <c r="V104" s="442" t="str">
        <f>IF(SUM(Skills!G56+Skills!H56)&gt;=16,"Yes","No")</f>
        <v>No</v>
      </c>
      <c r="W104" s="441" t="str">
        <f>IF(SUM(Skills!G56+Skills!H56)&gt;=16,"Yes","No")</f>
        <v>No</v>
      </c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</row>
    <row r="105" spans="1:43" ht="18" customHeight="1" x14ac:dyDescent="0.25">
      <c r="A105" s="691" t="s">
        <v>474</v>
      </c>
      <c r="B105" s="692"/>
      <c r="C105" s="255">
        <f>12+ROUNDDOWN((Skills!$G$19+Skills!$H$19)/2,0)</f>
        <v>12</v>
      </c>
      <c r="D105" s="255">
        <f>12+ROUNDDOWN((Skills!$G$19+Skills!$H$19)/2,0)</f>
        <v>12</v>
      </c>
      <c r="E105" s="255">
        <f>12+ROUNDDOWN((Skills!$G$19+Skills!$H$19)/2,0)</f>
        <v>12</v>
      </c>
      <c r="F105" s="469" t="s">
        <v>53</v>
      </c>
      <c r="G105" s="470"/>
      <c r="H105" s="441" t="s">
        <v>53</v>
      </c>
      <c r="I105" s="441" t="s">
        <v>53</v>
      </c>
      <c r="J105" s="451" t="s">
        <v>517</v>
      </c>
      <c r="K105" s="441" t="s">
        <v>53</v>
      </c>
      <c r="L105" s="36"/>
      <c r="M105" s="691" t="s">
        <v>474</v>
      </c>
      <c r="N105" s="692"/>
      <c r="O105" s="441">
        <f>12+ROUNDDOWN((Skills!G56+Skills!H56)/2,0)</f>
        <v>12</v>
      </c>
      <c r="P105" s="441">
        <f>12+ROUNDDOWN((Skills!G56+Skills!H56)/2,0)</f>
        <v>12</v>
      </c>
      <c r="Q105" s="441">
        <f>13+ROUNDDOWN((Skills!G56+Skills!H56)/2,0)</f>
        <v>13</v>
      </c>
      <c r="R105" s="441" t="s">
        <v>53</v>
      </c>
      <c r="S105" s="441" t="s">
        <v>53</v>
      </c>
      <c r="T105" s="451" t="s">
        <v>517</v>
      </c>
      <c r="U105" s="441" t="s">
        <v>53</v>
      </c>
      <c r="V105" s="441" t="s">
        <v>53</v>
      </c>
      <c r="W105" s="441" t="s">
        <v>53</v>
      </c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</row>
    <row r="106" spans="1:43" ht="18" customHeight="1" x14ac:dyDescent="0.25">
      <c r="A106" s="691" t="s">
        <v>467</v>
      </c>
      <c r="B106" s="692"/>
      <c r="C106" s="255" t="s">
        <v>509</v>
      </c>
      <c r="D106" s="255" t="s">
        <v>53</v>
      </c>
      <c r="E106" s="255" t="s">
        <v>509</v>
      </c>
      <c r="F106" s="469" t="s">
        <v>509</v>
      </c>
      <c r="G106" s="706"/>
      <c r="H106" s="255" t="s">
        <v>53</v>
      </c>
      <c r="I106" s="155" t="s">
        <v>500</v>
      </c>
      <c r="J106" s="255" t="s">
        <v>53</v>
      </c>
      <c r="K106" s="255" t="s">
        <v>53</v>
      </c>
      <c r="L106" s="36"/>
      <c r="M106" s="691" t="s">
        <v>1737</v>
      </c>
      <c r="N106" s="692"/>
      <c r="O106" s="441" t="s">
        <v>1738</v>
      </c>
      <c r="P106" s="441" t="s">
        <v>1738</v>
      </c>
      <c r="Q106" s="441" t="s">
        <v>1738</v>
      </c>
      <c r="R106" s="441" t="s">
        <v>1739</v>
      </c>
      <c r="S106" s="441" t="s">
        <v>53</v>
      </c>
      <c r="T106" s="441" t="s">
        <v>53</v>
      </c>
      <c r="U106" s="441" t="s">
        <v>53</v>
      </c>
      <c r="V106" s="441" t="s">
        <v>53</v>
      </c>
      <c r="W106" s="441" t="s">
        <v>53</v>
      </c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</row>
    <row r="107" spans="1:43" ht="18" customHeight="1" x14ac:dyDescent="0.25">
      <c r="A107" s="691" t="s">
        <v>1043</v>
      </c>
      <c r="B107" s="692"/>
      <c r="C107" s="257">
        <v>1</v>
      </c>
      <c r="D107" s="255" t="s">
        <v>53</v>
      </c>
      <c r="E107" s="257">
        <v>1</v>
      </c>
      <c r="F107" s="707">
        <v>2</v>
      </c>
      <c r="G107" s="706"/>
      <c r="H107" s="255" t="s">
        <v>53</v>
      </c>
      <c r="I107" s="255" t="s">
        <v>53</v>
      </c>
      <c r="J107" s="255" t="s">
        <v>53</v>
      </c>
      <c r="K107" s="155" t="s">
        <v>450</v>
      </c>
      <c r="L107" s="36"/>
      <c r="M107" s="691" t="s">
        <v>1741</v>
      </c>
      <c r="N107" s="692"/>
      <c r="O107" s="441">
        <v>15</v>
      </c>
      <c r="P107" s="441">
        <v>15</v>
      </c>
      <c r="Q107" s="441">
        <v>15</v>
      </c>
      <c r="R107" s="441">
        <v>25</v>
      </c>
      <c r="S107" s="441" t="s">
        <v>53</v>
      </c>
      <c r="T107" s="441" t="s">
        <v>53</v>
      </c>
      <c r="U107" s="441" t="s">
        <v>53</v>
      </c>
      <c r="V107" s="441" t="s">
        <v>53</v>
      </c>
      <c r="W107" s="441" t="s">
        <v>53</v>
      </c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</row>
    <row r="108" spans="1:43" ht="30" x14ac:dyDescent="0.25">
      <c r="A108" s="691" t="s">
        <v>1047</v>
      </c>
      <c r="B108" s="692"/>
      <c r="C108" s="257">
        <v>1</v>
      </c>
      <c r="D108" s="255" t="s">
        <v>53</v>
      </c>
      <c r="E108" s="257">
        <v>2</v>
      </c>
      <c r="F108" s="707">
        <v>2</v>
      </c>
      <c r="G108" s="706"/>
      <c r="H108" s="255" t="s">
        <v>53</v>
      </c>
      <c r="I108" s="255" t="s">
        <v>53</v>
      </c>
      <c r="J108" s="255" t="s">
        <v>53</v>
      </c>
      <c r="K108" s="155" t="s">
        <v>450</v>
      </c>
      <c r="L108" s="36"/>
      <c r="M108" s="691" t="s">
        <v>1742</v>
      </c>
      <c r="N108" s="692"/>
      <c r="O108" s="441" t="s">
        <v>475</v>
      </c>
      <c r="P108" s="441" t="s">
        <v>475</v>
      </c>
      <c r="Q108" s="441" t="s">
        <v>477</v>
      </c>
      <c r="R108" s="441" t="s">
        <v>53</v>
      </c>
      <c r="S108" s="441" t="s">
        <v>53</v>
      </c>
      <c r="T108" s="451" t="s">
        <v>500</v>
      </c>
      <c r="U108" s="441" t="s">
        <v>53</v>
      </c>
      <c r="V108" s="441" t="s">
        <v>53</v>
      </c>
      <c r="W108" s="452" t="s">
        <v>1744</v>
      </c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</row>
    <row r="109" spans="1:43" ht="18" customHeight="1" x14ac:dyDescent="0.25">
      <c r="A109" s="542" t="s">
        <v>471</v>
      </c>
      <c r="B109" s="542"/>
      <c r="C109" s="257">
        <v>20</v>
      </c>
      <c r="D109" s="255" t="s">
        <v>53</v>
      </c>
      <c r="E109" s="257">
        <v>25</v>
      </c>
      <c r="F109" s="469">
        <v>25</v>
      </c>
      <c r="G109" s="706"/>
      <c r="H109" s="255" t="s">
        <v>53</v>
      </c>
      <c r="I109" s="255" t="s">
        <v>53</v>
      </c>
      <c r="J109" s="255" t="s">
        <v>53</v>
      </c>
      <c r="K109" s="255" t="s">
        <v>53</v>
      </c>
      <c r="L109" s="36"/>
      <c r="M109" s="691" t="s">
        <v>1743</v>
      </c>
      <c r="N109" s="692"/>
      <c r="O109" s="441">
        <v>25</v>
      </c>
      <c r="P109" s="441">
        <v>25</v>
      </c>
      <c r="Q109" s="441">
        <v>25</v>
      </c>
      <c r="R109" s="441" t="s">
        <v>53</v>
      </c>
      <c r="S109" s="441" t="s">
        <v>53</v>
      </c>
      <c r="T109" s="451" t="s">
        <v>500</v>
      </c>
      <c r="U109" s="441">
        <v>35</v>
      </c>
      <c r="V109" s="441" t="s">
        <v>53</v>
      </c>
      <c r="W109" s="441" t="s">
        <v>53</v>
      </c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</row>
    <row r="110" spans="1:43" ht="18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691" t="s">
        <v>1728</v>
      </c>
      <c r="N110" s="692"/>
      <c r="O110" s="441">
        <v>1</v>
      </c>
      <c r="P110" s="451" t="s">
        <v>1729</v>
      </c>
      <c r="Q110" s="451" t="s">
        <v>1729</v>
      </c>
      <c r="R110" s="441" t="s">
        <v>53</v>
      </c>
      <c r="S110" s="451" t="s">
        <v>1730</v>
      </c>
      <c r="T110" s="441" t="s">
        <v>53</v>
      </c>
      <c r="U110" s="441" t="s">
        <v>53</v>
      </c>
      <c r="V110" s="441" t="s">
        <v>53</v>
      </c>
      <c r="W110" s="441" t="s">
        <v>53</v>
      </c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</row>
    <row r="111" spans="1:43" ht="18" customHeight="1" x14ac:dyDescent="0.25">
      <c r="A111" s="695" t="s">
        <v>494</v>
      </c>
      <c r="B111" s="696"/>
      <c r="C111" s="701" t="s">
        <v>437</v>
      </c>
      <c r="D111" s="701" t="s">
        <v>439</v>
      </c>
      <c r="E111" s="701" t="s">
        <v>438</v>
      </c>
      <c r="F111" s="691" t="s">
        <v>440</v>
      </c>
      <c r="G111" s="692"/>
      <c r="H111" s="691" t="s">
        <v>441</v>
      </c>
      <c r="I111" s="692"/>
      <c r="J111" s="691" t="s">
        <v>442</v>
      </c>
      <c r="K111" s="692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</row>
    <row r="112" spans="1:43" ht="18" customHeight="1" x14ac:dyDescent="0.25">
      <c r="A112" s="697"/>
      <c r="B112" s="698"/>
      <c r="C112" s="703"/>
      <c r="D112" s="703"/>
      <c r="E112" s="703"/>
      <c r="F112" s="154" t="s">
        <v>501</v>
      </c>
      <c r="G112" s="152" t="s">
        <v>502</v>
      </c>
      <c r="H112" s="154" t="s">
        <v>503</v>
      </c>
      <c r="I112" s="152" t="s">
        <v>504</v>
      </c>
      <c r="J112" s="154" t="s">
        <v>505</v>
      </c>
      <c r="K112" s="152" t="s">
        <v>501</v>
      </c>
      <c r="L112" s="36"/>
      <c r="M112" s="695" t="s">
        <v>1239</v>
      </c>
      <c r="N112" s="696"/>
      <c r="O112" s="701" t="s">
        <v>437</v>
      </c>
      <c r="P112" s="701" t="s">
        <v>439</v>
      </c>
      <c r="Q112" s="701" t="s">
        <v>438</v>
      </c>
      <c r="R112" s="691" t="s">
        <v>440</v>
      </c>
      <c r="S112" s="692"/>
      <c r="T112" s="691" t="s">
        <v>441</v>
      </c>
      <c r="U112" s="692"/>
      <c r="V112" s="691" t="s">
        <v>442</v>
      </c>
      <c r="W112" s="692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</row>
    <row r="113" spans="1:43" ht="18" customHeight="1" x14ac:dyDescent="0.25">
      <c r="A113" s="542" t="s">
        <v>248</v>
      </c>
      <c r="B113" s="542"/>
      <c r="C113" s="101"/>
      <c r="D113" s="158"/>
      <c r="E113" s="158"/>
      <c r="F113" s="157"/>
      <c r="G113" s="159"/>
      <c r="H113" s="157"/>
      <c r="I113" s="159"/>
      <c r="J113" s="157"/>
      <c r="K113" s="159"/>
      <c r="L113" s="36"/>
      <c r="M113" s="697"/>
      <c r="N113" s="698"/>
      <c r="O113" s="703"/>
      <c r="P113" s="703"/>
      <c r="Q113" s="703"/>
      <c r="R113" s="154" t="s">
        <v>1233</v>
      </c>
      <c r="S113" s="152" t="s">
        <v>1234</v>
      </c>
      <c r="T113" s="154" t="s">
        <v>1235</v>
      </c>
      <c r="U113" s="152" t="s">
        <v>1236</v>
      </c>
      <c r="V113" s="154" t="s">
        <v>1237</v>
      </c>
      <c r="W113" s="152" t="s">
        <v>1238</v>
      </c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</row>
    <row r="114" spans="1:43" ht="18" customHeight="1" x14ac:dyDescent="0.25">
      <c r="A114" s="542" t="s">
        <v>247</v>
      </c>
      <c r="B114" s="542"/>
      <c r="C114" s="161" t="str">
        <f>IF(AND(SUM(Skills!G19+Skills!H19)&gt;=3,Feats!$B$29=1),"Yes","No")</f>
        <v>No</v>
      </c>
      <c r="D114" s="160" t="str">
        <f>IF(AND(SUM(Skills!G19+Skills!H19)&gt;=5,Feats!$B$29=1),"Yes","No")</f>
        <v>No</v>
      </c>
      <c r="E114" s="160" t="str">
        <f>IF(AND(SUM(Skills!G19+Skills!H19)&gt;=7,Feats!$B$29=1),"Yes","No")</f>
        <v>No</v>
      </c>
      <c r="F114" s="160" t="str">
        <f>IF(AND(SUM(Skills!G19+Skills!H19)&gt;=9,Feats!$B$29=1),"Yes","No")</f>
        <v>No</v>
      </c>
      <c r="G114" s="160" t="str">
        <f>IF(AND(SUM(Skills!G19+Skills!H19)&gt;=9,Feats!$B$29=1),"Yes","No")</f>
        <v>No</v>
      </c>
      <c r="H114" s="160" t="str">
        <f>IF(AND(SUM(Skills!G19+Skills!H19)&gt;=11,Feats!$B$29=1),"Yes","No")</f>
        <v>No</v>
      </c>
      <c r="I114" s="160" t="str">
        <f>IF(AND(SUM(Skills!G19+Skills!H19)&gt;=11,Feats!$B$29=1),"Yes","No")</f>
        <v>No</v>
      </c>
      <c r="J114" s="160" t="str">
        <f>IF(AND(SUM(Skills!G19+Skills!H19)&gt;=13,Feats!$B$29=1),"Yes","No")</f>
        <v>No</v>
      </c>
      <c r="K114" s="161" t="str">
        <f>IF(AND(SUM(Skills!G19+Skills!H19)&gt;=13,Feats!$B$29=1),"Yes","No")</f>
        <v>No</v>
      </c>
      <c r="L114" s="36"/>
      <c r="M114" s="542" t="s">
        <v>248</v>
      </c>
      <c r="N114" s="542"/>
      <c r="O114" s="101"/>
      <c r="P114" s="296"/>
      <c r="Q114" s="296"/>
      <c r="R114" s="291"/>
      <c r="S114" s="297"/>
      <c r="T114" s="291"/>
      <c r="U114" s="297"/>
      <c r="V114" s="291"/>
      <c r="W114" s="297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</row>
    <row r="115" spans="1:43" ht="18" customHeight="1" x14ac:dyDescent="0.25">
      <c r="A115" s="691" t="s">
        <v>436</v>
      </c>
      <c r="B115" s="692"/>
      <c r="C115" s="360">
        <f>IF(General!$N$14&gt;0,General!$N$14+1,1)</f>
        <v>1</v>
      </c>
      <c r="D115" s="360">
        <f>IF(General!$N$14&gt;0,General!$N$14+1,1)</f>
        <v>1</v>
      </c>
      <c r="E115" s="360">
        <f>IF(General!$N$14&gt;0,General!$N$14+1,1)</f>
        <v>1</v>
      </c>
      <c r="F115" s="360">
        <f>IF(General!$N$14&gt;0,General!$N$14+1,1)</f>
        <v>1</v>
      </c>
      <c r="G115" s="360">
        <f>IF(General!$N$14&gt;0,General!$N$14+1,1)</f>
        <v>1</v>
      </c>
      <c r="H115" s="360">
        <f>IF(General!$N$14&gt;0,General!$N$14+1,1)</f>
        <v>1</v>
      </c>
      <c r="I115" s="360">
        <f>IF(General!$N$14&gt;0,General!$N$14+1,1)</f>
        <v>1</v>
      </c>
      <c r="J115" s="360">
        <f>IF(General!$N$14&gt;0,General!$N$14+1,1)</f>
        <v>1</v>
      </c>
      <c r="K115" s="360">
        <f>IF(General!$N$14&gt;0,General!$N$14+1,1)</f>
        <v>1</v>
      </c>
      <c r="L115" s="36"/>
      <c r="M115" s="542" t="s">
        <v>247</v>
      </c>
      <c r="N115" s="542"/>
      <c r="O115" s="290" t="str">
        <f>IF(AND(SUM(Skills!G19+Skills!H19)&gt;=6,SUM(Skills!G56+Skills!H56)&gt;=6,SUM(Skills!G20+Skills!H20)&gt;=6,SUM(Skills!G31+Skills!H31)&gt;=3),"Yes","No")</f>
        <v>No</v>
      </c>
      <c r="P115" s="294" t="str">
        <f>IF(AND(SUM(Skills!G19+Skills!H19)&gt;=8,SUM(Skills!G56+Skills!H56)&gt;=8,SUM(Skills!G20+Skills!H20)&gt;=8,SUM(Skills!G31+Skills!H31)&gt;=5),"Yes","No")</f>
        <v>No</v>
      </c>
      <c r="Q115" s="294" t="str">
        <f>IF(AND(SUM(Skills!G19+Skills!H19)&gt;=10,SUM(Skills!G56+Skills!H56)&gt;=10,SUM(Skills!G20+Skills!H20)&gt;=10,SUM(Skills!G31+Skills!H31)&gt;=7),"Yes","No")</f>
        <v>No</v>
      </c>
      <c r="R115" s="294" t="str">
        <f>IF(AND(SUM(Skills!G19+Skills!H19)&gt;=12,SUM(Skills!G56+Skills!H56)&gt;=12,SUM(Skills!G20+Skills!H20)&gt;=12,SUM(Skills!G31+Skills!H31)&gt;=9),"Yes","No")</f>
        <v>No</v>
      </c>
      <c r="S115" s="294" t="str">
        <f>IF(AND(SUM(Skills!G19+Skills!H19)&gt;=12,SUM(Skills!G56+Skills!H56)&gt;=12,SUM(Skills!G20+Skills!H20)&gt;=12,SUM(Skills!G31+Skills!H31)&gt;=9),"Yes","No")</f>
        <v>No</v>
      </c>
      <c r="T115" s="294" t="str">
        <f>IF(AND(SUM(Skills!G19+Skills!H19)&gt;=14,SUM(Skills!G56+Skills!H56)&gt;=14,SUM(Skills!G20+Skills!H20)&gt;=14,SUM(Skills!G31+Skills!H31)&gt;=11),"Yes","No")</f>
        <v>No</v>
      </c>
      <c r="U115" s="294" t="str">
        <f>IF(AND(SUM(Skills!G19+Skills!H19)&gt;=14,SUM(Skills!G56+Skills!H56)&gt;=14,SUM(Skills!G20+Skills!H20)&gt;=14,SUM(Skills!G31+Skills!H31)&gt;=11),"Yes","No")</f>
        <v>No</v>
      </c>
      <c r="V115" s="294" t="str">
        <f>IF(AND(SUM(Skills!G19+Skills!H19)&gt;=16,SUM(Skills!G56+Skills!H56)&gt;=16,SUM(Skills!G20+Skills!H20)&gt;=16,SUM(Skills!G31+Skills!H31)&gt;=13),"Yes","No")</f>
        <v>No</v>
      </c>
      <c r="W115" s="290" t="str">
        <f>IF(AND(SUM(Skills!G19+Skills!H19)&gt;=16,SUM(Skills!G56+Skills!H56)&gt;=16,SUM(Skills!G20+Skills!H20)&gt;=16,SUM(Skills!G31+Skills!H31)&gt;=13),"Yes","No")</f>
        <v>No</v>
      </c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</row>
    <row r="116" spans="1:43" ht="18" customHeight="1" x14ac:dyDescent="0.25">
      <c r="A116" s="691" t="s">
        <v>495</v>
      </c>
      <c r="B116" s="692"/>
      <c r="C116" s="161">
        <v>1</v>
      </c>
      <c r="D116" s="161">
        <v>1</v>
      </c>
      <c r="E116" s="161">
        <v>1</v>
      </c>
      <c r="F116" s="155" t="s">
        <v>450</v>
      </c>
      <c r="G116" s="261" t="s">
        <v>53</v>
      </c>
      <c r="H116" s="161" t="s">
        <v>53</v>
      </c>
      <c r="I116" s="161" t="s">
        <v>53</v>
      </c>
      <c r="J116" s="161" t="s">
        <v>53</v>
      </c>
      <c r="K116" s="155" t="s">
        <v>450</v>
      </c>
      <c r="L116" s="36"/>
      <c r="M116" s="691" t="s">
        <v>436</v>
      </c>
      <c r="N116" s="692"/>
      <c r="O116" s="290">
        <f>IF(General!$N$12&gt;0,General!$N$12+1,1)</f>
        <v>1</v>
      </c>
      <c r="P116" s="360">
        <f>IF(General!$N$12&gt;0,General!$N$12+1,1)</f>
        <v>1</v>
      </c>
      <c r="Q116" s="360">
        <f>IF(General!$N$12&gt;0,General!$N$12+1,1)</f>
        <v>1</v>
      </c>
      <c r="R116" s="360">
        <f>IF(General!$N$12&gt;0,General!$N$12+1,1)</f>
        <v>1</v>
      </c>
      <c r="S116" s="360">
        <f>IF(General!$N$12&gt;0,General!$N$12+1,1)</f>
        <v>1</v>
      </c>
      <c r="T116" s="360">
        <f>IF(General!$N$12&gt;0,General!$N$12+1,1)</f>
        <v>1</v>
      </c>
      <c r="U116" s="360">
        <f>IF(General!$N$12&gt;0,General!$N$12+1,1)</f>
        <v>1</v>
      </c>
      <c r="V116" s="360">
        <f>IF(General!$N$12&gt;0,General!$N$12+1,1)</f>
        <v>1</v>
      </c>
      <c r="W116" s="360">
        <f>IF(General!$N$12&gt;0,General!$N$12+1,1)</f>
        <v>1</v>
      </c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</row>
    <row r="117" spans="1:43" ht="18" customHeight="1" x14ac:dyDescent="0.25">
      <c r="A117" s="542" t="s">
        <v>496</v>
      </c>
      <c r="B117" s="542"/>
      <c r="C117" s="155" t="s">
        <v>470</v>
      </c>
      <c r="D117" s="155" t="s">
        <v>470</v>
      </c>
      <c r="E117" s="155" t="s">
        <v>500</v>
      </c>
      <c r="F117" s="161" t="s">
        <v>53</v>
      </c>
      <c r="G117" s="155" t="s">
        <v>470</v>
      </c>
      <c r="H117" s="161" t="s">
        <v>53</v>
      </c>
      <c r="I117" s="161" t="s">
        <v>53</v>
      </c>
      <c r="J117" s="161" t="s">
        <v>53</v>
      </c>
      <c r="K117" s="161" t="s">
        <v>53</v>
      </c>
      <c r="L117" s="36"/>
      <c r="M117" s="691" t="s">
        <v>1240</v>
      </c>
      <c r="N117" s="692"/>
      <c r="O117" s="301">
        <v>30</v>
      </c>
      <c r="P117" s="301">
        <v>40</v>
      </c>
      <c r="Q117" s="301">
        <v>60</v>
      </c>
      <c r="R117" s="301" t="s">
        <v>53</v>
      </c>
      <c r="S117" s="301" t="s">
        <v>53</v>
      </c>
      <c r="T117" s="302" t="s">
        <v>642</v>
      </c>
      <c r="U117" s="301" t="s">
        <v>53</v>
      </c>
      <c r="V117" s="302" t="s">
        <v>1244</v>
      </c>
      <c r="W117" s="301" t="s">
        <v>53</v>
      </c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</row>
    <row r="118" spans="1:43" ht="18" customHeight="1" x14ac:dyDescent="0.25">
      <c r="A118" s="691" t="s">
        <v>497</v>
      </c>
      <c r="B118" s="692"/>
      <c r="C118" s="161" t="s">
        <v>253</v>
      </c>
      <c r="D118" s="161" t="s">
        <v>253</v>
      </c>
      <c r="E118" s="161" t="s">
        <v>253</v>
      </c>
      <c r="F118" s="161" t="s">
        <v>53</v>
      </c>
      <c r="G118" s="161" t="s">
        <v>53</v>
      </c>
      <c r="H118" s="161" t="s">
        <v>53</v>
      </c>
      <c r="I118" s="155" t="s">
        <v>506</v>
      </c>
      <c r="J118" s="161" t="s">
        <v>53</v>
      </c>
      <c r="K118" s="155" t="s">
        <v>507</v>
      </c>
      <c r="L118" s="36"/>
      <c r="M118" s="542" t="s">
        <v>1241</v>
      </c>
      <c r="N118" s="542"/>
      <c r="O118" s="301">
        <v>10</v>
      </c>
      <c r="P118" s="301">
        <v>20</v>
      </c>
      <c r="Q118" s="301">
        <v>30</v>
      </c>
      <c r="R118" s="290" t="s">
        <v>53</v>
      </c>
      <c r="S118" s="290" t="s">
        <v>53</v>
      </c>
      <c r="T118" s="290" t="s">
        <v>53</v>
      </c>
      <c r="U118" s="299" t="s">
        <v>547</v>
      </c>
      <c r="V118" s="290" t="s">
        <v>53</v>
      </c>
      <c r="W118" s="299" t="s">
        <v>547</v>
      </c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</row>
    <row r="119" spans="1:43" ht="18" customHeight="1" x14ac:dyDescent="0.25">
      <c r="A119" s="691" t="s">
        <v>498</v>
      </c>
      <c r="B119" s="692"/>
      <c r="C119" s="155" t="s">
        <v>499</v>
      </c>
      <c r="D119" s="155" t="s">
        <v>499</v>
      </c>
      <c r="E119" s="155" t="s">
        <v>499</v>
      </c>
      <c r="F119" s="161" t="s">
        <v>53</v>
      </c>
      <c r="G119" s="161" t="s">
        <v>53</v>
      </c>
      <c r="H119" s="161" t="s">
        <v>53</v>
      </c>
      <c r="I119" s="161" t="s">
        <v>53</v>
      </c>
      <c r="J119" s="161" t="s">
        <v>250</v>
      </c>
      <c r="K119" s="161" t="s">
        <v>53</v>
      </c>
      <c r="L119" s="36"/>
      <c r="M119" s="542" t="s">
        <v>1242</v>
      </c>
      <c r="N119" s="542"/>
      <c r="O119" s="290" t="s">
        <v>53</v>
      </c>
      <c r="P119" s="290" t="s">
        <v>53</v>
      </c>
      <c r="Q119" s="290" t="s">
        <v>53</v>
      </c>
      <c r="R119" s="290" t="s">
        <v>53</v>
      </c>
      <c r="S119" s="299" t="s">
        <v>450</v>
      </c>
      <c r="T119" s="290" t="s">
        <v>53</v>
      </c>
      <c r="U119" s="290" t="s">
        <v>53</v>
      </c>
      <c r="V119" s="290" t="s">
        <v>53</v>
      </c>
      <c r="W119" s="290" t="s">
        <v>53</v>
      </c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</row>
    <row r="120" spans="1:43" ht="18" customHeight="1" x14ac:dyDescent="0.25">
      <c r="A120" s="691" t="s">
        <v>449</v>
      </c>
      <c r="B120" s="692"/>
      <c r="C120" s="161">
        <v>4</v>
      </c>
      <c r="D120" s="161">
        <v>3</v>
      </c>
      <c r="E120" s="161">
        <v>3</v>
      </c>
      <c r="F120" s="161" t="s">
        <v>53</v>
      </c>
      <c r="G120" s="161" t="s">
        <v>53</v>
      </c>
      <c r="H120" s="161" t="s">
        <v>53</v>
      </c>
      <c r="I120" s="161" t="s">
        <v>53</v>
      </c>
      <c r="J120" s="161" t="s">
        <v>53</v>
      </c>
      <c r="K120" s="161" t="s">
        <v>53</v>
      </c>
      <c r="L120" s="36"/>
      <c r="M120" s="693" t="s">
        <v>1243</v>
      </c>
      <c r="N120" s="694"/>
      <c r="O120" s="290" t="s">
        <v>53</v>
      </c>
      <c r="P120" s="290" t="s">
        <v>53</v>
      </c>
      <c r="Q120" s="290" t="s">
        <v>53</v>
      </c>
      <c r="R120" s="290" t="s">
        <v>53</v>
      </c>
      <c r="S120" s="290" t="s">
        <v>53</v>
      </c>
      <c r="T120" s="290" t="s">
        <v>53</v>
      </c>
      <c r="U120" s="290" t="s">
        <v>53</v>
      </c>
      <c r="V120" s="290" t="s">
        <v>53</v>
      </c>
      <c r="W120" s="299" t="s">
        <v>450</v>
      </c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</row>
    <row r="121" spans="1:43" ht="18" customHeight="1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</row>
    <row r="122" spans="1:43" ht="18" customHeight="1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</row>
    <row r="123" spans="1:43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</row>
    <row r="124" spans="1:43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</row>
    <row r="125" spans="1:43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</row>
    <row r="126" spans="1:43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</row>
    <row r="127" spans="1:43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</row>
    <row r="128" spans="1:43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</row>
    <row r="129" spans="1:43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</row>
    <row r="130" spans="1:43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</row>
    <row r="131" spans="1:43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</row>
    <row r="132" spans="1:43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</row>
    <row r="133" spans="1:43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</row>
    <row r="134" spans="1:43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</row>
    <row r="135" spans="1:43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</row>
    <row r="136" spans="1:43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</row>
    <row r="137" spans="1:43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</row>
    <row r="138" spans="1:43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</row>
    <row r="139" spans="1:43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</row>
    <row r="140" spans="1:43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</row>
    <row r="141" spans="1:43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</row>
    <row r="142" spans="1:43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</row>
    <row r="143" spans="1:43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</row>
    <row r="144" spans="1:43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</row>
    <row r="145" spans="1:43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</row>
    <row r="146" spans="1:43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</row>
    <row r="147" spans="1:43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</row>
    <row r="148" spans="1:43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</row>
    <row r="149" spans="1:43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</row>
    <row r="150" spans="1:43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</row>
    <row r="151" spans="1:43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</row>
    <row r="152" spans="1:43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</row>
    <row r="153" spans="1:43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</row>
    <row r="154" spans="1:43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</row>
    <row r="155" spans="1:43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</row>
    <row r="156" spans="1:43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</row>
    <row r="157" spans="1:43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</row>
    <row r="158" spans="1:43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</row>
    <row r="159" spans="1:43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</row>
    <row r="160" spans="1:43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</row>
    <row r="161" spans="1:43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</row>
    <row r="162" spans="1:43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</row>
    <row r="163" spans="1:43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</row>
    <row r="164" spans="1:43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</row>
  </sheetData>
  <mergeCells count="359">
    <mergeCell ref="M103:N103"/>
    <mergeCell ref="M104:N104"/>
    <mergeCell ref="M101:N102"/>
    <mergeCell ref="O101:O102"/>
    <mergeCell ref="P101:P102"/>
    <mergeCell ref="Q101:Q102"/>
    <mergeCell ref="M105:N105"/>
    <mergeCell ref="M106:N106"/>
    <mergeCell ref="M110:N110"/>
    <mergeCell ref="M107:N107"/>
    <mergeCell ref="M108:N108"/>
    <mergeCell ref="M109:N109"/>
    <mergeCell ref="R101:S101"/>
    <mergeCell ref="T101:U101"/>
    <mergeCell ref="V101:W101"/>
    <mergeCell ref="D43:D44"/>
    <mergeCell ref="E43:E44"/>
    <mergeCell ref="F43:G43"/>
    <mergeCell ref="H43:I43"/>
    <mergeCell ref="J43:K43"/>
    <mergeCell ref="A45:B45"/>
    <mergeCell ref="A46:B46"/>
    <mergeCell ref="A47:B47"/>
    <mergeCell ref="A48:B48"/>
    <mergeCell ref="M99:N99"/>
    <mergeCell ref="M95:N95"/>
    <mergeCell ref="M96:N96"/>
    <mergeCell ref="R61:S61"/>
    <mergeCell ref="R62:S62"/>
    <mergeCell ref="A70:B70"/>
    <mergeCell ref="A87:B87"/>
    <mergeCell ref="A83:B84"/>
    <mergeCell ref="R60:S60"/>
    <mergeCell ref="P77:P78"/>
    <mergeCell ref="R63:S63"/>
    <mergeCell ref="R64:S64"/>
    <mergeCell ref="C13:C14"/>
    <mergeCell ref="D13:D14"/>
    <mergeCell ref="A15:B15"/>
    <mergeCell ref="A8:B8"/>
    <mergeCell ref="F13:G13"/>
    <mergeCell ref="A9:B9"/>
    <mergeCell ref="M24:N25"/>
    <mergeCell ref="A25:B25"/>
    <mergeCell ref="A27:B27"/>
    <mergeCell ref="A10:B10"/>
    <mergeCell ref="E13:E14"/>
    <mergeCell ref="A17:B17"/>
    <mergeCell ref="A18:B18"/>
    <mergeCell ref="A19:B19"/>
    <mergeCell ref="A20:B20"/>
    <mergeCell ref="A22:B23"/>
    <mergeCell ref="C22:C23"/>
    <mergeCell ref="D22:D23"/>
    <mergeCell ref="E22:E23"/>
    <mergeCell ref="F22:G22"/>
    <mergeCell ref="A16:B16"/>
    <mergeCell ref="A13:B14"/>
    <mergeCell ref="A11:B11"/>
    <mergeCell ref="H13:I13"/>
    <mergeCell ref="J13:K13"/>
    <mergeCell ref="M17:N18"/>
    <mergeCell ref="P24:P25"/>
    <mergeCell ref="Q24:Q25"/>
    <mergeCell ref="R24:S24"/>
    <mergeCell ref="R17:S17"/>
    <mergeCell ref="T17:U17"/>
    <mergeCell ref="V17:W17"/>
    <mergeCell ref="O24:O25"/>
    <mergeCell ref="O17:O18"/>
    <mergeCell ref="P17:P18"/>
    <mergeCell ref="Q17:Q18"/>
    <mergeCell ref="H22:I22"/>
    <mergeCell ref="J22:K22"/>
    <mergeCell ref="T24:U24"/>
    <mergeCell ref="C111:C112"/>
    <mergeCell ref="D111:D112"/>
    <mergeCell ref="E111:E112"/>
    <mergeCell ref="F111:G111"/>
    <mergeCell ref="V24:W24"/>
    <mergeCell ref="M26:N26"/>
    <mergeCell ref="M27:N27"/>
    <mergeCell ref="R65:S65"/>
    <mergeCell ref="C74:C75"/>
    <mergeCell ref="D74:D75"/>
    <mergeCell ref="E74:E75"/>
    <mergeCell ref="F74:G74"/>
    <mergeCell ref="J64:K64"/>
    <mergeCell ref="H64:I64"/>
    <mergeCell ref="F64:G64"/>
    <mergeCell ref="R56:S56"/>
    <mergeCell ref="M57:N57"/>
    <mergeCell ref="P52:P53"/>
    <mergeCell ref="Q52:Q53"/>
    <mergeCell ref="O52:O53"/>
    <mergeCell ref="M58:N58"/>
    <mergeCell ref="O112:O113"/>
    <mergeCell ref="P112:P113"/>
    <mergeCell ref="Q112:Q113"/>
    <mergeCell ref="R112:S112"/>
    <mergeCell ref="T112:U112"/>
    <mergeCell ref="M28:N28"/>
    <mergeCell ref="M29:N29"/>
    <mergeCell ref="R58:S58"/>
    <mergeCell ref="M59:N59"/>
    <mergeCell ref="R59:S59"/>
    <mergeCell ref="R32:S32"/>
    <mergeCell ref="T32:U32"/>
    <mergeCell ref="M50:N50"/>
    <mergeCell ref="M47:N47"/>
    <mergeCell ref="M48:N48"/>
    <mergeCell ref="M49:N49"/>
    <mergeCell ref="M52:N53"/>
    <mergeCell ref="M54:N54"/>
    <mergeCell ref="M55:N55"/>
    <mergeCell ref="M56:N56"/>
    <mergeCell ref="M60:N60"/>
    <mergeCell ref="M97:N97"/>
    <mergeCell ref="P85:P86"/>
    <mergeCell ref="Q85:Q86"/>
    <mergeCell ref="A1:W1"/>
    <mergeCell ref="J4:K4"/>
    <mergeCell ref="A6:B6"/>
    <mergeCell ref="A7:B7"/>
    <mergeCell ref="H4:I4"/>
    <mergeCell ref="A4:B5"/>
    <mergeCell ref="C4:C5"/>
    <mergeCell ref="D4:D5"/>
    <mergeCell ref="E4:E5"/>
    <mergeCell ref="F4:G4"/>
    <mergeCell ref="M4:N5"/>
    <mergeCell ref="O4:O5"/>
    <mergeCell ref="P4:P5"/>
    <mergeCell ref="Q4:Q5"/>
    <mergeCell ref="R4:S4"/>
    <mergeCell ref="T4:U4"/>
    <mergeCell ref="V4:W4"/>
    <mergeCell ref="M6:N6"/>
    <mergeCell ref="M7:N7"/>
    <mergeCell ref="A2:G2"/>
    <mergeCell ref="H2:L2"/>
    <mergeCell ref="A39:B39"/>
    <mergeCell ref="A41:B41"/>
    <mergeCell ref="A38:B38"/>
    <mergeCell ref="A120:B120"/>
    <mergeCell ref="A117:B117"/>
    <mergeCell ref="A118:B118"/>
    <mergeCell ref="A119:B119"/>
    <mergeCell ref="A95:B95"/>
    <mergeCell ref="A96:B96"/>
    <mergeCell ref="A97:B97"/>
    <mergeCell ref="A116:B116"/>
    <mergeCell ref="A71:B71"/>
    <mergeCell ref="A72:B72"/>
    <mergeCell ref="A77:B77"/>
    <mergeCell ref="A76:B76"/>
    <mergeCell ref="A74:B75"/>
    <mergeCell ref="A90:B90"/>
    <mergeCell ref="A92:B93"/>
    <mergeCell ref="A113:B113"/>
    <mergeCell ref="A114:B114"/>
    <mergeCell ref="A111:B112"/>
    <mergeCell ref="A115:B115"/>
    <mergeCell ref="A78:B78"/>
    <mergeCell ref="A79:B79"/>
    <mergeCell ref="A28:B28"/>
    <mergeCell ref="A24:B24"/>
    <mergeCell ref="A26:B26"/>
    <mergeCell ref="A29:B29"/>
    <mergeCell ref="D31:D32"/>
    <mergeCell ref="M65:N65"/>
    <mergeCell ref="E31:E32"/>
    <mergeCell ref="F31:G31"/>
    <mergeCell ref="H31:I31"/>
    <mergeCell ref="J31:K31"/>
    <mergeCell ref="H53:I53"/>
    <mergeCell ref="E53:E54"/>
    <mergeCell ref="F53:G53"/>
    <mergeCell ref="J53:K53"/>
    <mergeCell ref="C31:C32"/>
    <mergeCell ref="A33:B33"/>
    <mergeCell ref="A62:B62"/>
    <mergeCell ref="A64:B65"/>
    <mergeCell ref="A34:B34"/>
    <mergeCell ref="A36:B36"/>
    <mergeCell ref="A31:B32"/>
    <mergeCell ref="A37:B37"/>
    <mergeCell ref="A35:B35"/>
    <mergeCell ref="A60:B60"/>
    <mergeCell ref="Q77:Q78"/>
    <mergeCell ref="R77:S77"/>
    <mergeCell ref="R55:S55"/>
    <mergeCell ref="R54:S54"/>
    <mergeCell ref="M77:N78"/>
    <mergeCell ref="O77:O78"/>
    <mergeCell ref="M79:N79"/>
    <mergeCell ref="M80:N80"/>
    <mergeCell ref="R57:S57"/>
    <mergeCell ref="M67:N68"/>
    <mergeCell ref="O67:O68"/>
    <mergeCell ref="M61:N61"/>
    <mergeCell ref="M71:N71"/>
    <mergeCell ref="T77:U77"/>
    <mergeCell ref="T67:U67"/>
    <mergeCell ref="V67:W67"/>
    <mergeCell ref="V77:W77"/>
    <mergeCell ref="P67:P68"/>
    <mergeCell ref="Q67:Q68"/>
    <mergeCell ref="R67:S67"/>
    <mergeCell ref="T92:U92"/>
    <mergeCell ref="M44:N44"/>
    <mergeCell ref="V52:W52"/>
    <mergeCell ref="R52:S53"/>
    <mergeCell ref="T85:U85"/>
    <mergeCell ref="V85:W85"/>
    <mergeCell ref="M82:N82"/>
    <mergeCell ref="R85:S85"/>
    <mergeCell ref="T52:U52"/>
    <mergeCell ref="R92:S92"/>
    <mergeCell ref="M90:N90"/>
    <mergeCell ref="M87:N87"/>
    <mergeCell ref="O92:O94"/>
    <mergeCell ref="M88:N88"/>
    <mergeCell ref="M89:N89"/>
    <mergeCell ref="M85:N86"/>
    <mergeCell ref="O85:O86"/>
    <mergeCell ref="C53:C54"/>
    <mergeCell ref="C64:C65"/>
    <mergeCell ref="D64:D65"/>
    <mergeCell ref="E64:E65"/>
    <mergeCell ref="D53:D54"/>
    <mergeCell ref="V32:W32"/>
    <mergeCell ref="P42:P43"/>
    <mergeCell ref="Q42:Q43"/>
    <mergeCell ref="M35:N35"/>
    <mergeCell ref="M36:N36"/>
    <mergeCell ref="M37:N37"/>
    <mergeCell ref="M38:N38"/>
    <mergeCell ref="M39:N39"/>
    <mergeCell ref="P32:P33"/>
    <mergeCell ref="Q32:Q33"/>
    <mergeCell ref="M40:N40"/>
    <mergeCell ref="M42:N43"/>
    <mergeCell ref="R42:S42"/>
    <mergeCell ref="T42:U42"/>
    <mergeCell ref="M32:N33"/>
    <mergeCell ref="O32:O33"/>
    <mergeCell ref="V42:W42"/>
    <mergeCell ref="O42:O43"/>
    <mergeCell ref="C43:C44"/>
    <mergeCell ref="A66:B66"/>
    <mergeCell ref="A67:B67"/>
    <mergeCell ref="A68:B68"/>
    <mergeCell ref="A69:B69"/>
    <mergeCell ref="A40:B40"/>
    <mergeCell ref="A55:B55"/>
    <mergeCell ref="A53:B54"/>
    <mergeCell ref="A56:B56"/>
    <mergeCell ref="A57:B57"/>
    <mergeCell ref="A58:B58"/>
    <mergeCell ref="A59:B59"/>
    <mergeCell ref="A61:B61"/>
    <mergeCell ref="A43:B44"/>
    <mergeCell ref="A49:B49"/>
    <mergeCell ref="A50:B50"/>
    <mergeCell ref="A51:B51"/>
    <mergeCell ref="A80:B80"/>
    <mergeCell ref="A81:B81"/>
    <mergeCell ref="C83:C84"/>
    <mergeCell ref="D83:D84"/>
    <mergeCell ref="A99:B99"/>
    <mergeCell ref="A89:B89"/>
    <mergeCell ref="C92:C93"/>
    <mergeCell ref="M62:N62"/>
    <mergeCell ref="M69:N69"/>
    <mergeCell ref="M81:N81"/>
    <mergeCell ref="M70:N70"/>
    <mergeCell ref="M72:N72"/>
    <mergeCell ref="M63:N63"/>
    <mergeCell ref="M64:N64"/>
    <mergeCell ref="M83:N83"/>
    <mergeCell ref="H92:I92"/>
    <mergeCell ref="J92:K92"/>
    <mergeCell ref="J74:K74"/>
    <mergeCell ref="H74:I74"/>
    <mergeCell ref="H83:I83"/>
    <mergeCell ref="J83:K83"/>
    <mergeCell ref="E83:E84"/>
    <mergeCell ref="E92:E93"/>
    <mergeCell ref="D92:D93"/>
    <mergeCell ref="F83:G83"/>
    <mergeCell ref="A88:B88"/>
    <mergeCell ref="F92:G92"/>
    <mergeCell ref="A98:B98"/>
    <mergeCell ref="A94:B94"/>
    <mergeCell ref="A108:B108"/>
    <mergeCell ref="A85:B85"/>
    <mergeCell ref="A86:B86"/>
    <mergeCell ref="F109:G109"/>
    <mergeCell ref="E101:E102"/>
    <mergeCell ref="A107:B107"/>
    <mergeCell ref="A105:B105"/>
    <mergeCell ref="A106:B106"/>
    <mergeCell ref="A103:B103"/>
    <mergeCell ref="A104:B104"/>
    <mergeCell ref="F103:G103"/>
    <mergeCell ref="F104:G104"/>
    <mergeCell ref="A101:B102"/>
    <mergeCell ref="C101:C102"/>
    <mergeCell ref="D101:D102"/>
    <mergeCell ref="F101:G102"/>
    <mergeCell ref="V112:W112"/>
    <mergeCell ref="M114:N114"/>
    <mergeCell ref="M115:N115"/>
    <mergeCell ref="M116:N116"/>
    <mergeCell ref="M98:N98"/>
    <mergeCell ref="M92:N94"/>
    <mergeCell ref="A109:B109"/>
    <mergeCell ref="V92:W92"/>
    <mergeCell ref="P92:P94"/>
    <mergeCell ref="Q92:Q94"/>
    <mergeCell ref="R93:R94"/>
    <mergeCell ref="S93:S94"/>
    <mergeCell ref="T93:T94"/>
    <mergeCell ref="U93:U94"/>
    <mergeCell ref="V93:V94"/>
    <mergeCell ref="W93:W94"/>
    <mergeCell ref="F105:G105"/>
    <mergeCell ref="F106:G106"/>
    <mergeCell ref="F107:G107"/>
    <mergeCell ref="F108:G108"/>
    <mergeCell ref="H101:I101"/>
    <mergeCell ref="J101:K101"/>
    <mergeCell ref="H111:I111"/>
    <mergeCell ref="J111:K111"/>
    <mergeCell ref="M117:N117"/>
    <mergeCell ref="M118:N118"/>
    <mergeCell ref="M119:N119"/>
    <mergeCell ref="M120:N120"/>
    <mergeCell ref="M8:N8"/>
    <mergeCell ref="M9:N9"/>
    <mergeCell ref="M10:N10"/>
    <mergeCell ref="M11:N11"/>
    <mergeCell ref="M12:N12"/>
    <mergeCell ref="M13:N13"/>
    <mergeCell ref="M15:N15"/>
    <mergeCell ref="M14:N14"/>
    <mergeCell ref="M112:N113"/>
    <mergeCell ref="M19:N19"/>
    <mergeCell ref="M20:N20"/>
    <mergeCell ref="M21:N21"/>
    <mergeCell ref="M22:N22"/>
    <mergeCell ref="M34:N34"/>
    <mergeCell ref="M45:N45"/>
    <mergeCell ref="M46:N46"/>
    <mergeCell ref="M73:N73"/>
    <mergeCell ref="M74:N74"/>
    <mergeCell ref="M75:N75"/>
    <mergeCell ref="M30:N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196"/>
  <sheetViews>
    <sheetView topLeftCell="A50" zoomScale="85" zoomScaleNormal="85" workbookViewId="0">
      <selection activeCell="M123" sqref="M123"/>
    </sheetView>
  </sheetViews>
  <sheetFormatPr defaultColWidth="9.140625" defaultRowHeight="15" x14ac:dyDescent="0.25"/>
  <cols>
    <col min="1" max="2" width="9.140625" style="17"/>
    <col min="3" max="3" width="10.28515625" style="17" customWidth="1"/>
    <col min="4" max="4" width="2.140625" style="17" bestFit="1" customWidth="1"/>
    <col min="5" max="5" width="9.7109375" style="17" customWidth="1"/>
    <col min="6" max="6" width="2.140625" style="17" bestFit="1" customWidth="1"/>
    <col min="7" max="7" width="11.42578125" style="17" customWidth="1"/>
    <col min="8" max="8" width="13.85546875" style="17" customWidth="1"/>
    <col min="9" max="9" width="15.85546875" style="17" customWidth="1"/>
    <col min="10" max="10" width="16.140625" style="17" customWidth="1"/>
    <col min="11" max="11" width="15.85546875" style="17" customWidth="1"/>
    <col min="12" max="12" width="17" style="17" customWidth="1"/>
    <col min="13" max="13" width="17.28515625" style="17" customWidth="1"/>
    <col min="14" max="14" width="4.28515625" style="17" customWidth="1"/>
    <col min="15" max="15" width="10.5703125" style="17" customWidth="1"/>
    <col min="16" max="16" width="12.85546875" style="17" customWidth="1"/>
    <col min="17" max="17" width="11.140625" style="17" customWidth="1"/>
    <col min="18" max="18" width="10.85546875" style="17" customWidth="1"/>
    <col min="19" max="19" width="12.85546875" style="17" customWidth="1"/>
    <col min="20" max="21" width="16.42578125" style="17" customWidth="1"/>
    <col min="22" max="23" width="17.7109375" style="17" customWidth="1"/>
    <col min="24" max="24" width="16.28515625" style="17" customWidth="1"/>
    <col min="25" max="25" width="18.140625" style="17" customWidth="1"/>
    <col min="26" max="16384" width="9.140625" style="17"/>
  </cols>
  <sheetData>
    <row r="1" spans="1:43" ht="22.5" customHeight="1" x14ac:dyDescent="0.25">
      <c r="A1" s="714" t="s">
        <v>254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714"/>
      <c r="T1" s="714"/>
      <c r="U1" s="714"/>
      <c r="V1" s="714"/>
      <c r="W1" s="714"/>
      <c r="X1" s="714"/>
      <c r="Y1" s="714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</row>
    <row r="2" spans="1:43" ht="9.7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</row>
    <row r="3" spans="1:43" ht="19.5" customHeight="1" x14ac:dyDescent="0.25">
      <c r="A3" s="507" t="s">
        <v>245</v>
      </c>
      <c r="B3" s="508"/>
      <c r="C3" s="100">
        <f>E3+G3+H3</f>
        <v>0</v>
      </c>
      <c r="D3" s="107" t="s">
        <v>6</v>
      </c>
      <c r="E3" s="100">
        <f>IF(AND(OR(General!Y7=General!AH9),General!N16&lt;=0),1+General!$AF$7,IF(OR(General!Y7=General!AH9),General!$N$16*General!$AF$7+General!$AF$7,0))+IF(AND(OR(General!Y7=General!AH10),General!N16&lt;=0),1+General!$AF$7*2,IF(OR(General!Y7=General!AH10),General!$N$16*General!$AF$7+General!$AF$7*2,0))+IF(AND(OR(General!Y7=General!AH22,General!Y7=General!AH13,General!Y7=General!AH17),General!N16&lt;=0),1+ROUNDDOWN(General!$AF$7/4,0),IF(OR(General!Y7=General!AH22,General!Y7=General!AH13,General!Y7=General!AH17),General!$N$16*General!$AF$7+ROUNDDOWN(General!$AF$7/4,0),0))+IF(AND(OR(General!Y7=General!AH25,General!Y7=General!AH11,General!Y7=General!AH12,General!Y7=General!AH19,General!Y7=General!AH26),General!N16&lt;=0),1+ROUNDDOWN(General!$AF$7/2,0),IF(OR(General!Y7=General!AH25,General!Y7=General!AH11,General!Y7=General!AH12,General!Y7=General!AH19,General!Y7=General!AH26),General!$N$16*General!$AF$7+ROUNDDOWN(General!$AF$7/2,0),0))+IF(AND(OR(General!Y7=General!AH14),General!N16&lt;=0),1,IF(OR(General!Y7=General!AH14),General!$N$16*General!$AF$7,0))</f>
        <v>0</v>
      </c>
      <c r="F3" s="107" t="s">
        <v>7</v>
      </c>
      <c r="G3" s="121">
        <f>4*Feats!E27</f>
        <v>0</v>
      </c>
      <c r="H3" s="117"/>
      <c r="I3" s="36"/>
      <c r="J3" s="715" t="s">
        <v>257</v>
      </c>
      <c r="K3" s="715"/>
      <c r="L3" s="715"/>
      <c r="M3" s="715"/>
      <c r="N3" s="715"/>
      <c r="O3" s="715"/>
      <c r="P3" s="716" t="s">
        <v>382</v>
      </c>
      <c r="Q3" s="716"/>
      <c r="R3" s="716"/>
      <c r="S3" s="716"/>
      <c r="T3" s="716"/>
      <c r="U3" s="716"/>
      <c r="V3" s="716"/>
      <c r="W3" s="716"/>
      <c r="X3" s="71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</row>
    <row r="4" spans="1:43" x14ac:dyDescent="0.25">
      <c r="A4" s="36"/>
      <c r="B4" s="36"/>
      <c r="C4" s="98" t="s">
        <v>1</v>
      </c>
      <c r="D4" s="36"/>
      <c r="E4" s="98" t="s">
        <v>99</v>
      </c>
      <c r="F4" s="36"/>
      <c r="G4" s="118" t="s">
        <v>129</v>
      </c>
      <c r="H4" s="118" t="s">
        <v>38</v>
      </c>
      <c r="I4" s="36"/>
      <c r="J4" s="36"/>
      <c r="K4" s="36"/>
      <c r="L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</row>
    <row r="5" spans="1:43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</row>
    <row r="6" spans="1:43" ht="18" customHeight="1" x14ac:dyDescent="0.25">
      <c r="A6" s="695" t="s">
        <v>1750</v>
      </c>
      <c r="B6" s="696"/>
      <c r="C6" s="710" t="s">
        <v>437</v>
      </c>
      <c r="D6" s="711"/>
      <c r="E6" s="710" t="s">
        <v>439</v>
      </c>
      <c r="F6" s="711"/>
      <c r="G6" s="701" t="s">
        <v>438</v>
      </c>
      <c r="H6" s="691" t="s">
        <v>440</v>
      </c>
      <c r="I6" s="692"/>
      <c r="J6" s="691" t="s">
        <v>441</v>
      </c>
      <c r="K6" s="692"/>
      <c r="L6" s="691" t="s">
        <v>442</v>
      </c>
      <c r="M6" s="692"/>
      <c r="N6" s="36"/>
      <c r="O6" s="695" t="s">
        <v>1749</v>
      </c>
      <c r="P6" s="696"/>
      <c r="Q6" s="720" t="s">
        <v>437</v>
      </c>
      <c r="R6" s="542" t="s">
        <v>439</v>
      </c>
      <c r="S6" s="701" t="s">
        <v>438</v>
      </c>
      <c r="T6" s="691" t="s">
        <v>440</v>
      </c>
      <c r="U6" s="692"/>
      <c r="V6" s="691" t="s">
        <v>441</v>
      </c>
      <c r="W6" s="692"/>
      <c r="X6" s="691" t="s">
        <v>442</v>
      </c>
      <c r="Y6" s="692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</row>
    <row r="7" spans="1:43" ht="30" customHeight="1" x14ac:dyDescent="0.25">
      <c r="A7" s="697"/>
      <c r="B7" s="698"/>
      <c r="C7" s="712"/>
      <c r="D7" s="713"/>
      <c r="E7" s="712"/>
      <c r="F7" s="713"/>
      <c r="G7" s="703"/>
      <c r="H7" s="154" t="s">
        <v>501</v>
      </c>
      <c r="I7" s="152" t="s">
        <v>453</v>
      </c>
      <c r="J7" s="154" t="s">
        <v>501</v>
      </c>
      <c r="K7" s="152" t="s">
        <v>1696</v>
      </c>
      <c r="L7" s="154" t="s">
        <v>1695</v>
      </c>
      <c r="M7" s="152" t="s">
        <v>1694</v>
      </c>
      <c r="N7" s="36"/>
      <c r="O7" s="697"/>
      <c r="P7" s="698"/>
      <c r="Q7" s="720"/>
      <c r="R7" s="542"/>
      <c r="S7" s="703"/>
      <c r="T7" s="154" t="s">
        <v>480</v>
      </c>
      <c r="U7" s="152" t="s">
        <v>466</v>
      </c>
      <c r="V7" s="154" t="s">
        <v>453</v>
      </c>
      <c r="W7" s="152" t="s">
        <v>658</v>
      </c>
      <c r="X7" s="154" t="s">
        <v>466</v>
      </c>
      <c r="Y7" s="152" t="s">
        <v>511</v>
      </c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</row>
    <row r="8" spans="1:43" ht="18" customHeight="1" x14ac:dyDescent="0.25">
      <c r="A8" s="542" t="s">
        <v>248</v>
      </c>
      <c r="B8" s="542"/>
      <c r="C8" s="708"/>
      <c r="D8" s="709"/>
      <c r="E8" s="708"/>
      <c r="F8" s="709"/>
      <c r="G8" s="447"/>
      <c r="H8" s="443"/>
      <c r="I8" s="448"/>
      <c r="J8" s="443"/>
      <c r="K8" s="448"/>
      <c r="L8" s="443"/>
      <c r="M8" s="448"/>
      <c r="N8" s="36"/>
      <c r="O8" s="542" t="s">
        <v>248</v>
      </c>
      <c r="P8" s="542"/>
      <c r="Q8" s="454"/>
      <c r="R8" s="454"/>
      <c r="S8" s="296"/>
      <c r="T8" s="291"/>
      <c r="U8" s="297"/>
      <c r="V8" s="291"/>
      <c r="W8" s="297"/>
      <c r="X8" s="291"/>
      <c r="Y8" s="297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</row>
    <row r="9" spans="1:43" ht="18" customHeight="1" x14ac:dyDescent="0.25">
      <c r="A9" s="542" t="s">
        <v>247</v>
      </c>
      <c r="B9" s="542"/>
      <c r="C9" s="469" t="str">
        <f>IF(SUM(Skills!$G$11+Skills!$H$11)&gt;=4,"Yes","No")</f>
        <v>No</v>
      </c>
      <c r="D9" s="470"/>
      <c r="E9" s="469" t="str">
        <f>IF(SUM(Skills!$G$11+Skills!$H$11)&gt;=6,"Yes","No")</f>
        <v>No</v>
      </c>
      <c r="F9" s="470"/>
      <c r="G9" s="442" t="str">
        <f>IF(SUM(Skills!$G$11+Skills!$H$11)&gt;=8,"Yes","No")</f>
        <v>No</v>
      </c>
      <c r="H9" s="442" t="str">
        <f>IF(SUM(Skills!$G$11+Skills!$H$11)&gt;=10,"Yes","No")</f>
        <v>No</v>
      </c>
      <c r="I9" s="442" t="str">
        <f>IF(SUM(Skills!$G$11+Skills!$H$11)&gt;=10,"Yes","No")</f>
        <v>No</v>
      </c>
      <c r="J9" s="442" t="str">
        <f>IF(SUM(Skills!$G$11+Skills!$H$11)&gt;=12,"Yes","No")</f>
        <v>No</v>
      </c>
      <c r="K9" s="442" t="str">
        <f>IF(SUM(Skills!$G$11+Skills!$H$11)&gt;=12,"Yes","No")</f>
        <v>No</v>
      </c>
      <c r="L9" s="442" t="str">
        <f>IF(SUM(Skills!$G$11+Skills!$H$11)&gt;=14,"Yes","No")</f>
        <v>No</v>
      </c>
      <c r="M9" s="441" t="str">
        <f>IF(SUM(Skills!$G$11+Skills!$H$11)&gt;=14,"Yes","No")</f>
        <v>No</v>
      </c>
      <c r="N9" s="36"/>
      <c r="O9" s="542" t="s">
        <v>247</v>
      </c>
      <c r="P9" s="542"/>
      <c r="Q9" s="459" t="str">
        <f>IF(AND(SUM(Skills!$G$11+Skills!$H$11)&gt;=8,Q123="yes"),"Yes","No")</f>
        <v>No</v>
      </c>
      <c r="R9" s="459" t="str">
        <f>IF(AND(SUM(Skills!$G$11+Skills!$H$11)&gt;=10,Q123="yes"),"Yes","No")</f>
        <v>No</v>
      </c>
      <c r="S9" s="290" t="str">
        <f>IF(AND(SUM(Skills!$G$11+Skills!$H$11)&gt;=12,Q123="yes"),"Yes","No")</f>
        <v>No</v>
      </c>
      <c r="T9" s="290" t="str">
        <f>IF(AND(SUM(Skills!$G$11+Skills!$H$11)&gt;=14,Q123="yes"),"Yes","No")</f>
        <v>No</v>
      </c>
      <c r="U9" s="290" t="str">
        <f>IF(AND(SUM(Skills!$G$11+Skills!$H$11)&gt;=14,Q123="yes"),"Yes","No")</f>
        <v>No</v>
      </c>
      <c r="V9" s="290" t="str">
        <f>IF(AND(SUM(Skills!$G$11+Skills!$H$11)&gt;=16,Q123="yes"),"Yes","No")</f>
        <v>No</v>
      </c>
      <c r="W9" s="290" t="str">
        <f>IF(AND(SUM(Skills!$G$11+Skills!$H$11)&gt;=16,Q123="yes"),"Yes","No")</f>
        <v>No</v>
      </c>
      <c r="X9" s="290" t="str">
        <f>IF(AND(SUM(Skills!$G$11+Skills!$H$11)&gt;=18,Q123="yes"),"Yes","No")</f>
        <v>No</v>
      </c>
      <c r="Y9" s="290" t="str">
        <f>IF(AND(SUM(Skills!$G$11+Skills!$H$11)&gt;=18,Q123="yes"),"Yes","No")</f>
        <v>No</v>
      </c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</row>
    <row r="10" spans="1:43" ht="18" customHeight="1" x14ac:dyDescent="0.25">
      <c r="A10" s="691" t="s">
        <v>582</v>
      </c>
      <c r="B10" s="692"/>
      <c r="C10" s="469">
        <v>2</v>
      </c>
      <c r="D10" s="470"/>
      <c r="E10" s="469">
        <v>2</v>
      </c>
      <c r="F10" s="470"/>
      <c r="G10" s="441">
        <v>2</v>
      </c>
      <c r="H10" s="451" t="s">
        <v>450</v>
      </c>
      <c r="I10" s="441" t="s">
        <v>53</v>
      </c>
      <c r="J10" s="451" t="s">
        <v>450</v>
      </c>
      <c r="K10" s="451" t="s">
        <v>450</v>
      </c>
      <c r="L10" s="451" t="s">
        <v>517</v>
      </c>
      <c r="M10" s="451" t="s">
        <v>517</v>
      </c>
      <c r="N10" s="36"/>
      <c r="O10" s="691" t="s">
        <v>474</v>
      </c>
      <c r="P10" s="692"/>
      <c r="Q10" s="442">
        <f>10+ROUNDDOWN((Skills!$G$11+Skills!$H$11)/2,0)+General!$N$16</f>
        <v>5</v>
      </c>
      <c r="R10" s="442">
        <f>10+ROUNDDOWN((Skills!$G$11+Skills!$H$11)/2,0)+General!$N$16</f>
        <v>5</v>
      </c>
      <c r="S10" s="442">
        <f>10+ROUNDDOWN((Skills!$G$11+Skills!$H$11)/2,0)+General!$N$16</f>
        <v>5</v>
      </c>
      <c r="T10" s="442">
        <f>10+ROUNDDOWN((Skills!$G$11+Skills!$H$11)/2,0)+General!$N$16</f>
        <v>5</v>
      </c>
      <c r="U10" s="442">
        <f>10+ROUNDDOWN((Skills!$G$11+Skills!$H$11)/2,0)+General!$N$16</f>
        <v>5</v>
      </c>
      <c r="V10" s="442">
        <f>10+ROUNDDOWN((Skills!$G$11+Skills!$H$11)/2,0)+General!$N$16</f>
        <v>5</v>
      </c>
      <c r="W10" s="442">
        <f>10+ROUNDDOWN((Skills!$G$11+Skills!$H$11)/2,0)+General!$N$16</f>
        <v>5</v>
      </c>
      <c r="X10" s="442">
        <f>10+ROUNDDOWN((Skills!$G$11+Skills!$H$11)/2,0)+General!$N$16</f>
        <v>5</v>
      </c>
      <c r="Y10" s="441">
        <f>10+ROUNDDOWN((Skills!$G$11+Skills!$H$11)/2,0)+General!$N$16</f>
        <v>5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3" ht="18" customHeight="1" x14ac:dyDescent="0.25">
      <c r="A11" s="691" t="s">
        <v>1697</v>
      </c>
      <c r="B11" s="692"/>
      <c r="C11" s="469">
        <f>1+IF(ROUNDDOWN(General!N16/2,0)&lt;=0,1,ROUNDDOWN(General!N16/2,0))</f>
        <v>2</v>
      </c>
      <c r="D11" s="470"/>
      <c r="E11" s="469">
        <f>1+IF(ROUNDDOWN(General!N16/2,0)&lt;=0,1,ROUNDDOWN(General!N16/2,0))</f>
        <v>2</v>
      </c>
      <c r="F11" s="470"/>
      <c r="G11" s="442">
        <f>1+IF(ROUNDDOWN(General!N16/2,0)&lt;=0,1,ROUNDDOWN(General!N16/2,0))</f>
        <v>2</v>
      </c>
      <c r="H11" s="441" t="s">
        <v>53</v>
      </c>
      <c r="I11" s="441" t="s">
        <v>53</v>
      </c>
      <c r="J11" s="441" t="s">
        <v>53</v>
      </c>
      <c r="K11" s="451" t="s">
        <v>450</v>
      </c>
      <c r="L11" s="441" t="s">
        <v>53</v>
      </c>
      <c r="M11" s="441" t="s">
        <v>53</v>
      </c>
      <c r="N11" s="36"/>
      <c r="O11" s="542" t="s">
        <v>471</v>
      </c>
      <c r="P11" s="542"/>
      <c r="Q11" s="444">
        <v>20</v>
      </c>
      <c r="R11" s="444">
        <v>20</v>
      </c>
      <c r="S11" s="444">
        <v>20</v>
      </c>
      <c r="T11" s="441" t="s">
        <v>53</v>
      </c>
      <c r="U11" s="451" t="s">
        <v>547</v>
      </c>
      <c r="V11" s="441" t="s">
        <v>53</v>
      </c>
      <c r="W11" s="441" t="s">
        <v>53</v>
      </c>
      <c r="X11" s="451" t="s">
        <v>547</v>
      </c>
      <c r="Y11" s="441" t="s">
        <v>53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43" ht="18" customHeight="1" x14ac:dyDescent="0.25">
      <c r="A12" s="542" t="s">
        <v>1698</v>
      </c>
      <c r="B12" s="542"/>
      <c r="C12" s="536">
        <f>20+2*General!N16</f>
        <v>10</v>
      </c>
      <c r="D12" s="538"/>
      <c r="E12" s="536">
        <f>20+2*General!N16</f>
        <v>10</v>
      </c>
      <c r="F12" s="538"/>
      <c r="G12" s="444">
        <f>30+3*General!N16</f>
        <v>15</v>
      </c>
      <c r="H12" s="445" t="str">
        <f>"+"&amp;10+General!N16</f>
        <v>+5</v>
      </c>
      <c r="I12" s="441" t="s">
        <v>53</v>
      </c>
      <c r="J12" s="445" t="str">
        <f>"+"&amp;10+General!N16</f>
        <v>+5</v>
      </c>
      <c r="K12" s="441" t="s">
        <v>53</v>
      </c>
      <c r="L12" s="441" t="s">
        <v>53</v>
      </c>
      <c r="M12" s="441" t="s">
        <v>53</v>
      </c>
      <c r="N12" s="36"/>
      <c r="O12" s="693" t="s">
        <v>1751</v>
      </c>
      <c r="P12" s="694"/>
      <c r="Q12" s="458">
        <v>0.5</v>
      </c>
      <c r="R12" s="458">
        <v>0.5</v>
      </c>
      <c r="S12" s="456">
        <v>0.75</v>
      </c>
      <c r="T12" s="457" t="s">
        <v>1245</v>
      </c>
      <c r="U12" s="456" t="s">
        <v>53</v>
      </c>
      <c r="V12" s="456" t="s">
        <v>53</v>
      </c>
      <c r="W12" s="456" t="s">
        <v>53</v>
      </c>
      <c r="X12" s="456" t="s">
        <v>53</v>
      </c>
      <c r="Y12" s="457" t="s">
        <v>1246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x14ac:dyDescent="0.25">
      <c r="A13" s="691" t="s">
        <v>1699</v>
      </c>
      <c r="B13" s="692"/>
      <c r="C13" s="469" t="s">
        <v>1700</v>
      </c>
      <c r="D13" s="470"/>
      <c r="E13" s="469" t="s">
        <v>1700</v>
      </c>
      <c r="F13" s="470"/>
      <c r="G13" s="442" t="s">
        <v>1700</v>
      </c>
      <c r="H13" s="441" t="s">
        <v>53</v>
      </c>
      <c r="I13" s="441" t="s">
        <v>53</v>
      </c>
      <c r="J13" s="441" t="s">
        <v>53</v>
      </c>
      <c r="K13" s="441" t="s">
        <v>1701</v>
      </c>
      <c r="L13" s="441" t="s">
        <v>53</v>
      </c>
      <c r="M13" s="441" t="s">
        <v>53</v>
      </c>
      <c r="N13" s="36"/>
      <c r="O13" s="542" t="s">
        <v>1247</v>
      </c>
      <c r="P13" s="542"/>
      <c r="Q13" s="444">
        <v>10</v>
      </c>
      <c r="R13" s="444">
        <v>10</v>
      </c>
      <c r="S13" s="444">
        <v>10</v>
      </c>
      <c r="T13" s="451" t="s">
        <v>482</v>
      </c>
      <c r="U13" s="441" t="s">
        <v>53</v>
      </c>
      <c r="V13" s="441" t="s">
        <v>53</v>
      </c>
      <c r="W13" s="441" t="s">
        <v>53</v>
      </c>
      <c r="X13" s="441" t="s">
        <v>53</v>
      </c>
      <c r="Y13" s="441" t="s">
        <v>53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ht="18" customHeight="1" x14ac:dyDescent="0.25">
      <c r="A14" s="691" t="s">
        <v>449</v>
      </c>
      <c r="B14" s="692"/>
      <c r="C14" s="469">
        <v>3</v>
      </c>
      <c r="D14" s="470"/>
      <c r="E14" s="469">
        <v>2</v>
      </c>
      <c r="F14" s="470"/>
      <c r="G14" s="442">
        <v>2</v>
      </c>
      <c r="H14" s="441" t="s">
        <v>53</v>
      </c>
      <c r="I14" s="451" t="s">
        <v>251</v>
      </c>
      <c r="J14" s="441" t="s">
        <v>53</v>
      </c>
      <c r="K14" s="441" t="s">
        <v>53</v>
      </c>
      <c r="L14" s="441" t="s">
        <v>53</v>
      </c>
      <c r="M14" s="441" t="s">
        <v>53</v>
      </c>
      <c r="N14" s="36"/>
      <c r="O14" s="542" t="s">
        <v>449</v>
      </c>
      <c r="P14" s="542"/>
      <c r="Q14" s="444">
        <v>10</v>
      </c>
      <c r="R14" s="444">
        <v>8</v>
      </c>
      <c r="S14" s="444">
        <v>8</v>
      </c>
      <c r="T14" s="441" t="s">
        <v>53</v>
      </c>
      <c r="U14" s="441" t="s">
        <v>53</v>
      </c>
      <c r="V14" s="451" t="s">
        <v>535</v>
      </c>
      <c r="W14" s="441" t="s">
        <v>53</v>
      </c>
      <c r="X14" s="441" t="s">
        <v>53</v>
      </c>
      <c r="Y14" s="441" t="s">
        <v>53</v>
      </c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</row>
    <row r="15" spans="1:43" ht="18" customHeight="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93" t="s">
        <v>1248</v>
      </c>
      <c r="P15" s="694"/>
      <c r="Q15" s="444">
        <v>30</v>
      </c>
      <c r="R15" s="444">
        <v>32</v>
      </c>
      <c r="S15" s="444">
        <v>34</v>
      </c>
      <c r="T15" s="451" t="s">
        <v>517</v>
      </c>
      <c r="U15" s="451" t="s">
        <v>517</v>
      </c>
      <c r="V15" s="451" t="s">
        <v>517</v>
      </c>
      <c r="W15" s="451" t="s">
        <v>517</v>
      </c>
      <c r="X15" s="451" t="s">
        <v>517</v>
      </c>
      <c r="Y15" s="451" t="s">
        <v>517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 ht="18" customHeight="1" x14ac:dyDescent="0.25">
      <c r="A16" s="695" t="s">
        <v>1079</v>
      </c>
      <c r="B16" s="696"/>
      <c r="C16" s="710" t="s">
        <v>437</v>
      </c>
      <c r="D16" s="711"/>
      <c r="E16" s="710" t="s">
        <v>439</v>
      </c>
      <c r="F16" s="711"/>
      <c r="G16" s="701" t="s">
        <v>438</v>
      </c>
      <c r="H16" s="691" t="s">
        <v>440</v>
      </c>
      <c r="I16" s="692"/>
      <c r="J16" s="691" t="s">
        <v>441</v>
      </c>
      <c r="K16" s="692"/>
      <c r="L16" s="691" t="s">
        <v>442</v>
      </c>
      <c r="M16" s="692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</row>
    <row r="17" spans="1:43" ht="18" customHeight="1" x14ac:dyDescent="0.25">
      <c r="A17" s="697"/>
      <c r="B17" s="698"/>
      <c r="C17" s="712"/>
      <c r="D17" s="713"/>
      <c r="E17" s="712"/>
      <c r="F17" s="713"/>
      <c r="G17" s="703"/>
      <c r="H17" s="154" t="s">
        <v>467</v>
      </c>
      <c r="I17" s="152" t="s">
        <v>1049</v>
      </c>
      <c r="J17" s="154" t="s">
        <v>1080</v>
      </c>
      <c r="K17" s="152" t="s">
        <v>1081</v>
      </c>
      <c r="L17" s="154" t="s">
        <v>511</v>
      </c>
      <c r="M17" s="152" t="s">
        <v>700</v>
      </c>
      <c r="N17" s="36"/>
      <c r="O17" s="695" t="s">
        <v>1087</v>
      </c>
      <c r="P17" s="696"/>
      <c r="Q17" s="720" t="s">
        <v>437</v>
      </c>
      <c r="R17" s="542" t="s">
        <v>439</v>
      </c>
      <c r="S17" s="701" t="s">
        <v>438</v>
      </c>
      <c r="T17" s="691" t="s">
        <v>440</v>
      </c>
      <c r="U17" s="692"/>
      <c r="V17" s="691" t="s">
        <v>441</v>
      </c>
      <c r="W17" s="692"/>
      <c r="X17" s="691" t="s">
        <v>442</v>
      </c>
      <c r="Y17" s="692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</row>
    <row r="18" spans="1:43" ht="18" customHeight="1" x14ac:dyDescent="0.25">
      <c r="A18" s="542" t="s">
        <v>248</v>
      </c>
      <c r="B18" s="542"/>
      <c r="C18" s="708"/>
      <c r="D18" s="709"/>
      <c r="E18" s="708"/>
      <c r="F18" s="709"/>
      <c r="G18" s="266"/>
      <c r="H18" s="262"/>
      <c r="I18" s="267"/>
      <c r="J18" s="262"/>
      <c r="K18" s="267"/>
      <c r="L18" s="262"/>
      <c r="M18" s="267"/>
      <c r="N18" s="36"/>
      <c r="O18" s="697"/>
      <c r="P18" s="698"/>
      <c r="Q18" s="720"/>
      <c r="R18" s="542"/>
      <c r="S18" s="703"/>
      <c r="T18" s="154" t="s">
        <v>467</v>
      </c>
      <c r="U18" s="152" t="s">
        <v>658</v>
      </c>
      <c r="V18" s="154" t="s">
        <v>453</v>
      </c>
      <c r="W18" s="152" t="s">
        <v>1088</v>
      </c>
      <c r="X18" s="154" t="s">
        <v>611</v>
      </c>
      <c r="Y18" s="152" t="s">
        <v>1089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</row>
    <row r="19" spans="1:43" ht="18" customHeight="1" x14ac:dyDescent="0.25">
      <c r="A19" s="542" t="s">
        <v>247</v>
      </c>
      <c r="B19" s="542"/>
      <c r="C19" s="469" t="str">
        <f>IF(AND(SUM(Skills!$G$11+Skills!$H$11)&gt;=7,SUM(Skills!$G$31+Skills!$H$31)&gt;=2,SUM(Skills!$G$36+Skills!$H$36)&gt;=2),"Yes","No")</f>
        <v>No</v>
      </c>
      <c r="D19" s="470"/>
      <c r="E19" s="469" t="str">
        <f>IF(AND(SUM(Skills!$G$11+Skills!$H$11)&gt;=9,SUM(Skills!$G$31+Skills!$H$31)&gt;=4,SUM(Skills!$G$36+Skills!$H$36)&gt;=4),"Yes","No")</f>
        <v>No</v>
      </c>
      <c r="F19" s="470"/>
      <c r="G19" s="263" t="str">
        <f>IF(AND(SUM(Skills!$G$11+Skills!$H$11)&gt;=11,SUM(Skills!$G$31+Skills!$H$31)&gt;=6,SUM(Skills!$G$36+Skills!$H$36)&gt;=6),"Yes","No")</f>
        <v>No</v>
      </c>
      <c r="H19" s="263" t="str">
        <f>IF(AND(SUM(Skills!$G$11+Skills!$H$11)&gt;=13,SUM(Skills!$G$31+Skills!$H$31)&gt;=8,SUM(Skills!$G$36+Skills!$H$36)&gt;=8),"Yes","No")</f>
        <v>No</v>
      </c>
      <c r="I19" s="263" t="str">
        <f>IF(AND(SUM(Skills!$G$11+Skills!$H$11)&gt;=13,SUM(Skills!$G$31+Skills!$H$31)&gt;=8,SUM(Skills!$G$36+Skills!$H$36)&gt;=8),"Yes","No")</f>
        <v>No</v>
      </c>
      <c r="J19" s="263" t="str">
        <f>IF(AND(SUM(Skills!$G$11+Skills!$H$11)&gt;=15,SUM(Skills!$G$31+Skills!$H$31)&gt;=10,SUM(Skills!$G$36+Skills!$H$36)&gt;=10),"Yes","No")</f>
        <v>No</v>
      </c>
      <c r="K19" s="263" t="str">
        <f>IF(AND(SUM(Skills!$G$11+Skills!$H$11)&gt;=15,SUM(Skills!$G$31+Skills!$H$31)&gt;=10,SUM(Skills!$G$36+Skills!$H$36)&gt;=10),"Yes","No")</f>
        <v>No</v>
      </c>
      <c r="L19" s="263" t="str">
        <f>IF(AND(SUM(Skills!$G$11+Skills!$H$11)&gt;=17,SUM(Skills!$G$31+Skills!$H$31)&gt;=12,SUM(Skills!$G$36+Skills!$H$36)&gt;=12),"Yes","No")</f>
        <v>No</v>
      </c>
      <c r="M19" s="261" t="str">
        <f>IF(AND(SUM(Skills!$G$11+Skills!$H$11)&gt;=17,SUM(Skills!$G$31+Skills!$H$31)&gt;=12,SUM(Skills!$G$36+Skills!$H$36)&gt;=12),"Yes","No")</f>
        <v>No</v>
      </c>
      <c r="N19" s="36"/>
      <c r="O19" s="542" t="s">
        <v>248</v>
      </c>
      <c r="P19" s="542"/>
      <c r="Q19" s="292"/>
      <c r="R19" s="291"/>
      <c r="S19" s="266"/>
      <c r="T19" s="262"/>
      <c r="U19" s="267"/>
      <c r="V19" s="262"/>
      <c r="W19" s="267"/>
      <c r="X19" s="262"/>
      <c r="Y19" s="267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</row>
    <row r="20" spans="1:43" ht="18" customHeight="1" x14ac:dyDescent="0.25">
      <c r="A20" s="691" t="s">
        <v>582</v>
      </c>
      <c r="B20" s="692"/>
      <c r="C20" s="469">
        <v>2</v>
      </c>
      <c r="D20" s="470"/>
      <c r="E20" s="469">
        <v>2</v>
      </c>
      <c r="F20" s="470"/>
      <c r="G20" s="261">
        <v>3</v>
      </c>
      <c r="H20" s="155" t="s">
        <v>450</v>
      </c>
      <c r="I20" s="261" t="s">
        <v>53</v>
      </c>
      <c r="J20" s="155" t="s">
        <v>450</v>
      </c>
      <c r="K20" s="155" t="s">
        <v>450</v>
      </c>
      <c r="L20" s="155" t="s">
        <v>450</v>
      </c>
      <c r="M20" s="155" t="s">
        <v>450</v>
      </c>
      <c r="N20" s="36"/>
      <c r="O20" s="542" t="s">
        <v>247</v>
      </c>
      <c r="P20" s="542"/>
      <c r="Q20" s="295" t="str">
        <f>IF(AND(SUM(Skills!$G$11+Skills!$H$11)&gt;=6,SUM(Skills!$G$36+Skills!$H$36)&gt;=2,General!$B$1="Human",$Q$39="Yes",OR(General!$Y$7=General!$AH$9,General!$Y$7=General!$AH$9)),"Yes","No")</f>
        <v>No</v>
      </c>
      <c r="R20" s="290" t="str">
        <f>IF(AND(SUM(Skills!$G$11+Skills!$H$11)&gt;=8,SUM(Skills!$G$36+Skills!$H$36)&gt;=4,General!$B$1="Human",$Q$39="Yes",OR(General!$Y$7=General!$AH$9,General!$Y$7=General!$AH$9)),"Yes","No")</f>
        <v>No</v>
      </c>
      <c r="S20" s="261" t="str">
        <f>IF(AND(SUM(Skills!$G$11+Skills!$H$11)&gt;=10,SUM(Skills!$G$36+Skills!$H$36)&gt;=6,General!$B$1="Human",$Q$39="Yes",OR(General!$Y$7=General!$AH$9,General!$Y$7=General!$AH$9)),"Yes","No")</f>
        <v>No</v>
      </c>
      <c r="T20" s="261" t="str">
        <f>IF(AND(SUM(Skills!$G$11+Skills!$H$11)&gt;=12,SUM(Skills!$G$36+Skills!$H$36)&gt;=8,General!$B$1="Human",$Q$39="Yes",OR(General!$Y$7=General!$AH$9,General!$Y$7=General!$AH$9)),"Yes","No")</f>
        <v>No</v>
      </c>
      <c r="U20" s="261" t="str">
        <f>IF(AND(SUM(Skills!$G$11+Skills!$H$11)&gt;=12,SUM(Skills!$G$36+Skills!$H$36)&gt;=8,General!$B$1="Human",$Q$39="Yes",OR(General!$Y$7=General!$AH$9,General!$Y$7=General!$AH$9)),"Yes","No")</f>
        <v>No</v>
      </c>
      <c r="V20" s="261" t="str">
        <f>IF(AND(SUM(Skills!$G$11+Skills!$H$11)&gt;=14,SUM(Skills!$G$36+Skills!$H$36)&gt;=10,General!$B$1="Human",$Q$39="Yes",OR(General!$Y$7=General!$AH$9,General!$Y$7=General!$AH$9)),"Yes","No")</f>
        <v>No</v>
      </c>
      <c r="W20" s="261" t="str">
        <f>IF(AND(SUM(Skills!$G$11+Skills!$H$11)&gt;=14,SUM(Skills!$G$36+Skills!$H$36)&gt;=10,General!$B$1="Human",$Q$39="Yes",OR(General!$Y$7=General!$AH$9,General!$Y$7=General!$AH$9)),"Yes","No")</f>
        <v>No</v>
      </c>
      <c r="X20" s="261" t="str">
        <f>IF(AND(SUM(Skills!$G$11+Skills!$H$11)&gt;=16,SUM(Skills!$G$36+Skills!$H$36)&gt;=12,General!$B$1="Human",$Q$39="Yes",OR(General!$Y$7=General!$AH$9,General!$Y$7=General!$AH$9)),"Yes","No")</f>
        <v>No</v>
      </c>
      <c r="Y20" s="261" t="str">
        <f>IF(AND(SUM(Skills!$G$11+Skills!$H$11)&gt;=16,SUM(Skills!$G$36+Skills!$H$36)&gt;=12,General!$B$1="Human",$Q$39="Yes",OR(General!$Y$7=General!$AH$9,General!$Y$7=General!$AH$9)),"Yes","No")</f>
        <v>No</v>
      </c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</row>
    <row r="21" spans="1:43" ht="18" customHeight="1" x14ac:dyDescent="0.25">
      <c r="A21" s="691" t="s">
        <v>1082</v>
      </c>
      <c r="B21" s="692"/>
      <c r="C21" s="469" t="s">
        <v>1797</v>
      </c>
      <c r="D21" s="470"/>
      <c r="E21" s="469" t="s">
        <v>1797</v>
      </c>
      <c r="F21" s="470"/>
      <c r="G21" s="263" t="s">
        <v>1798</v>
      </c>
      <c r="H21" s="466" t="s">
        <v>1799</v>
      </c>
      <c r="I21" s="265" t="s">
        <v>53</v>
      </c>
      <c r="J21" s="261" t="s">
        <v>53</v>
      </c>
      <c r="K21" s="261" t="s">
        <v>53</v>
      </c>
      <c r="L21" s="466" t="s">
        <v>1799</v>
      </c>
      <c r="M21" s="265" t="s">
        <v>53</v>
      </c>
      <c r="N21" s="36"/>
      <c r="O21" s="691" t="s">
        <v>582</v>
      </c>
      <c r="P21" s="692"/>
      <c r="Q21" s="295">
        <v>3</v>
      </c>
      <c r="R21" s="290">
        <v>3</v>
      </c>
      <c r="S21" s="261">
        <v>4</v>
      </c>
      <c r="T21" s="155" t="s">
        <v>450</v>
      </c>
      <c r="U21" s="155" t="s">
        <v>450</v>
      </c>
      <c r="V21" s="155" t="s">
        <v>450</v>
      </c>
      <c r="W21" s="155" t="s">
        <v>450</v>
      </c>
      <c r="X21" s="155" t="s">
        <v>517</v>
      </c>
      <c r="Y21" s="155" t="s">
        <v>450</v>
      </c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</row>
    <row r="22" spans="1:43" ht="18" customHeight="1" x14ac:dyDescent="0.25">
      <c r="A22" s="542" t="s">
        <v>726</v>
      </c>
      <c r="B22" s="542"/>
      <c r="C22" s="536">
        <v>15</v>
      </c>
      <c r="D22" s="538"/>
      <c r="E22" s="536">
        <v>15</v>
      </c>
      <c r="F22" s="538"/>
      <c r="G22" s="264">
        <v>15</v>
      </c>
      <c r="H22" s="265" t="s">
        <v>53</v>
      </c>
      <c r="I22" s="183" t="s">
        <v>482</v>
      </c>
      <c r="J22" s="265" t="s">
        <v>53</v>
      </c>
      <c r="K22" s="265" t="s">
        <v>53</v>
      </c>
      <c r="L22" s="265" t="s">
        <v>53</v>
      </c>
      <c r="M22" s="265" t="s">
        <v>53</v>
      </c>
      <c r="N22" s="36"/>
      <c r="O22" s="691" t="s">
        <v>727</v>
      </c>
      <c r="P22" s="692"/>
      <c r="Q22" s="295">
        <f>10+ROUNDDOWN((Skills!$G$11+Skills!$H$11)/2,0)+General!$N$14</f>
        <v>5</v>
      </c>
      <c r="R22" s="290">
        <f>10+ROUNDDOWN((Skills!$G$11+Skills!$H$11)/2,0)+General!$N$14</f>
        <v>5</v>
      </c>
      <c r="S22" s="263">
        <f>10+ROUNDDOWN((Skills!$G$11+Skills!$H$11)/2,0)+General!$N$14</f>
        <v>5</v>
      </c>
      <c r="T22" s="261">
        <f>10+ROUNDDOWN((Skills!$G$11+Skills!$H$11)/2,0)+General!$N$14</f>
        <v>5</v>
      </c>
      <c r="U22" s="261">
        <f>10+ROUNDDOWN((Skills!$G$11+Skills!$H$11)/2,0)+General!$N$14</f>
        <v>5</v>
      </c>
      <c r="V22" s="261">
        <f>10+ROUNDDOWN((Skills!$G$11+Skills!$H$11)/2,0)+General!$N$14</f>
        <v>5</v>
      </c>
      <c r="W22" s="261">
        <f>10+ROUNDDOWN((Skills!$G$11+Skills!$H$11)/2,0)+General!$N$14</f>
        <v>5</v>
      </c>
      <c r="X22" s="261">
        <f>10+ROUNDDOWN((Skills!$G$11+Skills!$H$11)/2,0)+General!$N$14</f>
        <v>5</v>
      </c>
      <c r="Y22" s="261">
        <f>10+ROUNDDOWN((Skills!$G$11+Skills!$H$11)/2,0)+General!$N$14</f>
        <v>5</v>
      </c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ht="18" customHeight="1" x14ac:dyDescent="0.25">
      <c r="A23" s="691" t="s">
        <v>1083</v>
      </c>
      <c r="B23" s="692"/>
      <c r="C23" s="469" t="s">
        <v>475</v>
      </c>
      <c r="D23" s="470"/>
      <c r="E23" s="469" t="s">
        <v>475</v>
      </c>
      <c r="F23" s="470"/>
      <c r="G23" s="263" t="s">
        <v>477</v>
      </c>
      <c r="H23" s="155" t="s">
        <v>470</v>
      </c>
      <c r="I23" s="261" t="s">
        <v>53</v>
      </c>
      <c r="J23" s="261" t="s">
        <v>53</v>
      </c>
      <c r="K23" s="261" t="s">
        <v>53</v>
      </c>
      <c r="L23" s="155" t="s">
        <v>470</v>
      </c>
      <c r="M23" s="261" t="s">
        <v>53</v>
      </c>
      <c r="N23" s="36"/>
      <c r="O23" s="691" t="s">
        <v>1090</v>
      </c>
      <c r="P23" s="692"/>
      <c r="Q23" s="295" t="str">
        <f>CONCATENATE(IF($AC$8="Yes",1,IF($S$19="Yes",2,IF($V$19="Yes",3,IF($W$19="Yes",3,1)))),"d6")</f>
        <v>1d6</v>
      </c>
      <c r="R23" s="295" t="str">
        <f>CONCATENATE(IF($AC$8="Yes",1,IF($S$19="Yes",2,IF($V$19="Yes",3,IF($W$19="Yes",3,1)))),"d6")</f>
        <v>1d6</v>
      </c>
      <c r="S23" s="263" t="str">
        <f>CONCATENATE(IF($AC$8="Yes",1,IF($S$19="Yes",2,IF($V$19="Yes",3,IF($W$19="Yes",3,1)))),"d6+1d6")</f>
        <v>1d6+1d6</v>
      </c>
      <c r="T23" s="261" t="s">
        <v>53</v>
      </c>
      <c r="U23" s="261" t="s">
        <v>53</v>
      </c>
      <c r="V23" s="261" t="s">
        <v>53</v>
      </c>
      <c r="W23" s="261" t="s">
        <v>53</v>
      </c>
      <c r="X23" s="261" t="s">
        <v>53</v>
      </c>
      <c r="Y23" s="261" t="s">
        <v>53</v>
      </c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ht="18" customHeight="1" x14ac:dyDescent="0.25">
      <c r="A24" s="691" t="s">
        <v>449</v>
      </c>
      <c r="B24" s="692"/>
      <c r="C24" s="469">
        <v>3</v>
      </c>
      <c r="D24" s="470"/>
      <c r="E24" s="469">
        <v>2</v>
      </c>
      <c r="F24" s="470"/>
      <c r="G24" s="263">
        <v>2</v>
      </c>
      <c r="H24" s="261" t="s">
        <v>53</v>
      </c>
      <c r="I24" s="261" t="s">
        <v>53</v>
      </c>
      <c r="J24" s="261" t="s">
        <v>53</v>
      </c>
      <c r="K24" s="261" t="s">
        <v>53</v>
      </c>
      <c r="L24" s="261" t="s">
        <v>53</v>
      </c>
      <c r="M24" s="261" t="s">
        <v>53</v>
      </c>
      <c r="N24" s="36"/>
      <c r="O24" s="691" t="s">
        <v>1091</v>
      </c>
      <c r="P24" s="692"/>
      <c r="Q24" s="295" t="s">
        <v>1092</v>
      </c>
      <c r="R24" s="295" t="s">
        <v>1092</v>
      </c>
      <c r="S24" s="263" t="s">
        <v>1092</v>
      </c>
      <c r="T24" s="293" t="s">
        <v>1093</v>
      </c>
      <c r="U24" s="261" t="s">
        <v>53</v>
      </c>
      <c r="V24" s="261" t="s">
        <v>53</v>
      </c>
      <c r="W24" s="261" t="s">
        <v>53</v>
      </c>
      <c r="X24" s="261" t="s">
        <v>53</v>
      </c>
      <c r="Y24" s="261" t="s">
        <v>53</v>
      </c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</row>
    <row r="25" spans="1:43" ht="18" customHeight="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691" t="s">
        <v>449</v>
      </c>
      <c r="P25" s="692"/>
      <c r="Q25" s="295">
        <v>3</v>
      </c>
      <c r="R25" s="290">
        <v>2</v>
      </c>
      <c r="S25" s="263">
        <v>2</v>
      </c>
      <c r="T25" s="261" t="s">
        <v>53</v>
      </c>
      <c r="U25" s="261" t="s">
        <v>53</v>
      </c>
      <c r="V25" s="155" t="s">
        <v>459</v>
      </c>
      <c r="W25" s="261" t="s">
        <v>53</v>
      </c>
      <c r="X25" s="261" t="s">
        <v>53</v>
      </c>
      <c r="Y25" s="261" t="s">
        <v>53</v>
      </c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</row>
    <row r="26" spans="1:43" ht="18" customHeight="1" x14ac:dyDescent="0.25">
      <c r="A26" s="695" t="s">
        <v>246</v>
      </c>
      <c r="B26" s="696"/>
      <c r="C26" s="710" t="s">
        <v>437</v>
      </c>
      <c r="D26" s="711"/>
      <c r="E26" s="710" t="s">
        <v>439</v>
      </c>
      <c r="F26" s="711"/>
      <c r="G26" s="701" t="s">
        <v>438</v>
      </c>
      <c r="H26" s="691" t="s">
        <v>440</v>
      </c>
      <c r="I26" s="692"/>
      <c r="J26" s="691" t="s">
        <v>441</v>
      </c>
      <c r="K26" s="692"/>
      <c r="L26" s="691" t="s">
        <v>442</v>
      </c>
      <c r="M26" s="692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1:43" ht="30" customHeight="1" x14ac:dyDescent="0.25">
      <c r="A27" s="697"/>
      <c r="B27" s="698"/>
      <c r="C27" s="712"/>
      <c r="D27" s="713"/>
      <c r="E27" s="712"/>
      <c r="F27" s="713"/>
      <c r="G27" s="703"/>
      <c r="H27" s="154" t="s">
        <v>575</v>
      </c>
      <c r="I27" s="152" t="s">
        <v>576</v>
      </c>
      <c r="J27" s="154" t="s">
        <v>503</v>
      </c>
      <c r="K27" s="152" t="s">
        <v>577</v>
      </c>
      <c r="L27" s="154" t="s">
        <v>578</v>
      </c>
      <c r="M27" s="152" t="s">
        <v>580</v>
      </c>
      <c r="N27" s="36"/>
      <c r="O27" s="695" t="s">
        <v>645</v>
      </c>
      <c r="P27" s="696"/>
      <c r="Q27" s="701" t="s">
        <v>437</v>
      </c>
      <c r="R27" s="701" t="s">
        <v>439</v>
      </c>
      <c r="S27" s="701" t="s">
        <v>438</v>
      </c>
      <c r="T27" s="710" t="s">
        <v>440</v>
      </c>
      <c r="U27" s="711"/>
      <c r="V27" s="691" t="s">
        <v>441</v>
      </c>
      <c r="W27" s="692"/>
      <c r="X27" s="691" t="s">
        <v>442</v>
      </c>
      <c r="Y27" s="692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43" x14ac:dyDescent="0.25">
      <c r="A28" s="542" t="s">
        <v>248</v>
      </c>
      <c r="B28" s="542"/>
      <c r="C28" s="708"/>
      <c r="D28" s="709"/>
      <c r="E28" s="708"/>
      <c r="F28" s="709"/>
      <c r="G28" s="345"/>
      <c r="H28" s="168"/>
      <c r="I28" s="346"/>
      <c r="J28" s="344"/>
      <c r="K28" s="167"/>
      <c r="L28" s="168"/>
      <c r="M28" s="346"/>
      <c r="N28" s="36"/>
      <c r="O28" s="697"/>
      <c r="P28" s="698"/>
      <c r="Q28" s="703"/>
      <c r="R28" s="703"/>
      <c r="S28" s="703"/>
      <c r="T28" s="712"/>
      <c r="U28" s="713"/>
      <c r="V28" s="154" t="s">
        <v>640</v>
      </c>
      <c r="W28" s="152" t="s">
        <v>641</v>
      </c>
      <c r="X28" s="154" t="s">
        <v>643</v>
      </c>
      <c r="Y28" s="152" t="s">
        <v>644</v>
      </c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</row>
    <row r="29" spans="1:43" ht="18" customHeight="1" x14ac:dyDescent="0.25">
      <c r="A29" s="542" t="s">
        <v>247</v>
      </c>
      <c r="B29" s="542"/>
      <c r="C29" s="469" t="str">
        <f>IF(SUM(Skills!$G$11+Skills!$H$11)&gt;=2,"Yes","No")</f>
        <v>No</v>
      </c>
      <c r="D29" s="470"/>
      <c r="E29" s="469" t="str">
        <f>IF(SUM(Skills!$G$11+Skills!$H$11)&gt;=4,"Yes","No")</f>
        <v>No</v>
      </c>
      <c r="F29" s="470"/>
      <c r="G29" s="170" t="str">
        <f>IF(SUM(Skills!$G$11+Skills!$H$11)&gt;=6,"Yes","No")</f>
        <v>No</v>
      </c>
      <c r="H29" s="170" t="str">
        <f>IF(SUM(Skills!$G$11+Skills!$H$11)&gt;=8,"Yes","No")</f>
        <v>No</v>
      </c>
      <c r="I29" s="170" t="str">
        <f>IF(SUM(Skills!$G$11+Skills!$H$11)&gt;=8,"Yes","No")</f>
        <v>No</v>
      </c>
      <c r="J29" s="170" t="str">
        <f>IF(SUM(Skills!$G$11+Skills!$H$11)&gt;=10,"Yes","No")</f>
        <v>No</v>
      </c>
      <c r="K29" s="170" t="str">
        <f>IF(SUM(Skills!$G$11+Skills!$H$11)&gt;=10,"Yes","No")</f>
        <v>No</v>
      </c>
      <c r="L29" s="170" t="str">
        <f>IF(SUM(Skills!$G$11+Skills!$H$11)&gt;=12,"Yes","No")</f>
        <v>No</v>
      </c>
      <c r="M29" s="171" t="str">
        <f>IF(SUM(Skills!$G$11+Skills!$H$11)&gt;=12,"Yes","No")</f>
        <v>No</v>
      </c>
      <c r="N29" s="36"/>
      <c r="O29" s="542" t="s">
        <v>248</v>
      </c>
      <c r="P29" s="542"/>
      <c r="Q29" s="101"/>
      <c r="R29" s="185"/>
      <c r="S29" s="185"/>
      <c r="T29" s="708"/>
      <c r="U29" s="709"/>
      <c r="V29" s="184"/>
      <c r="W29" s="186"/>
      <c r="X29" s="184"/>
      <c r="Y29" s="18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</row>
    <row r="30" spans="1:43" ht="18" customHeight="1" x14ac:dyDescent="0.25">
      <c r="A30" s="691" t="s">
        <v>581</v>
      </c>
      <c r="B30" s="692"/>
      <c r="C30" s="469">
        <v>1</v>
      </c>
      <c r="D30" s="470"/>
      <c r="E30" s="469">
        <v>1</v>
      </c>
      <c r="F30" s="470"/>
      <c r="G30" s="171">
        <v>2</v>
      </c>
      <c r="H30" s="171" t="s">
        <v>53</v>
      </c>
      <c r="I30" s="171" t="s">
        <v>53</v>
      </c>
      <c r="J30" s="171" t="s">
        <v>53</v>
      </c>
      <c r="K30" s="171" t="s">
        <v>53</v>
      </c>
      <c r="L30" s="155" t="s">
        <v>450</v>
      </c>
      <c r="M30" s="155" t="s">
        <v>450</v>
      </c>
      <c r="N30" s="36"/>
      <c r="O30" s="542" t="s">
        <v>247</v>
      </c>
      <c r="P30" s="542"/>
      <c r="Q30" s="190" t="str">
        <f>IF(AND(SUM(Skills!$G$11+Skills!$H$11)&gt;=8,SUM(Skills!$G$36+Skills!$H$36)&gt;=3,$Q$39="Yes"),"Yes","No")</f>
        <v>No</v>
      </c>
      <c r="R30" s="190" t="str">
        <f>IF(AND(SUM(Skills!$G$11+Skills!$H$11)&gt;=10,SUM(Skills!$G$36+Skills!$H$36)&gt;=5,Q39="Yes"),"Yes","No")</f>
        <v>No</v>
      </c>
      <c r="S30" s="190" t="str">
        <f>IF(AND(SUM(Skills!$G$11+Skills!$H$11)&gt;=12,SUM(Skills!$G$36+Skills!$H$36)&gt;=7,Q39="Yes"),"Yes","No")</f>
        <v>No</v>
      </c>
      <c r="T30" s="469" t="str">
        <f>IF(AND(SUM(Skills!$G$11+Skills!$H$11)&gt;=14,SUM(Skills!$G$36+Skills!$H$36)&gt;=9,Q39="Yes"),"Yes","No")</f>
        <v>No</v>
      </c>
      <c r="U30" s="470"/>
      <c r="V30" s="190" t="str">
        <f>IF(AND(SUM(Skills!$G$11+Skills!$H$11)&gt;=16,SUM(Skills!$G$36+Skills!$H$36)&gt;=11,Q39="Yes"),"Yes","No")</f>
        <v>No</v>
      </c>
      <c r="W30" s="190" t="str">
        <f>IF(AND(SUM(Skills!$G$11+Skills!$H$11)&gt;=16,SUM(Skills!$G$36+Skills!$H$36)&gt;=11,Q39="Yes"),"Yes","No")</f>
        <v>No</v>
      </c>
      <c r="X30" s="190" t="str">
        <f>IF(AND(SUM(Skills!$G$11+Skills!$H$11)&gt;=18,SUM(Skills!$G$36+Skills!$H$36)&gt;=13,Q39="Yes"),"Yes","No")</f>
        <v>No</v>
      </c>
      <c r="Y30" s="190" t="str">
        <f>IF(AND(SUM(Skills!$G$11+Skills!$H$11)&gt;=18,SUM(Skills!$G$36+Skills!$H$36)&gt;=13,Q39="Yes"),"Yes","No")</f>
        <v>No</v>
      </c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ht="18" customHeight="1" x14ac:dyDescent="0.25">
      <c r="A31" s="691" t="s">
        <v>572</v>
      </c>
      <c r="B31" s="692"/>
      <c r="C31" s="469">
        <v>1</v>
      </c>
      <c r="D31" s="470"/>
      <c r="E31" s="469">
        <v>1</v>
      </c>
      <c r="F31" s="470"/>
      <c r="G31" s="170">
        <v>1</v>
      </c>
      <c r="H31" s="171" t="s">
        <v>53</v>
      </c>
      <c r="I31" s="155" t="s">
        <v>450</v>
      </c>
      <c r="J31" s="171" t="s">
        <v>53</v>
      </c>
      <c r="K31" s="171" t="s">
        <v>53</v>
      </c>
      <c r="L31" s="171" t="s">
        <v>53</v>
      </c>
      <c r="M31" s="155" t="s">
        <v>450</v>
      </c>
      <c r="N31" s="36"/>
      <c r="O31" s="691" t="s">
        <v>582</v>
      </c>
      <c r="P31" s="692"/>
      <c r="Q31" s="190">
        <v>6</v>
      </c>
      <c r="R31" s="190">
        <v>7</v>
      </c>
      <c r="S31" s="190">
        <v>8</v>
      </c>
      <c r="T31" s="707">
        <v>9</v>
      </c>
      <c r="U31" s="706"/>
      <c r="V31" s="155" t="s">
        <v>450</v>
      </c>
      <c r="W31" s="155" t="s">
        <v>450</v>
      </c>
      <c r="X31" s="155" t="s">
        <v>517</v>
      </c>
      <c r="Y31" s="155" t="s">
        <v>517</v>
      </c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ht="18" customHeight="1" x14ac:dyDescent="0.25">
      <c r="A32" s="542" t="s">
        <v>573</v>
      </c>
      <c r="B32" s="542"/>
      <c r="C32" s="536" t="str">
        <f>"1d6+"&amp;1*General!N14</f>
        <v>1d6+-5</v>
      </c>
      <c r="D32" s="538"/>
      <c r="E32" s="536" t="str">
        <f>"1d8+"&amp;1*General!N14</f>
        <v>1d8+-5</v>
      </c>
      <c r="F32" s="538"/>
      <c r="G32" s="177" t="str">
        <f>"1d10+"&amp;1*General!N14</f>
        <v>1d10+-5</v>
      </c>
      <c r="H32" s="169" t="str">
        <f>"2d6+"&amp;2*General!N14</f>
        <v>2d6+-10</v>
      </c>
      <c r="I32" s="169" t="s">
        <v>53</v>
      </c>
      <c r="J32" s="169" t="s">
        <v>53</v>
      </c>
      <c r="K32" s="169" t="s">
        <v>53</v>
      </c>
      <c r="L32" s="169" t="s">
        <v>53</v>
      </c>
      <c r="M32" s="169" t="s">
        <v>53</v>
      </c>
      <c r="N32" s="36"/>
      <c r="O32" s="691" t="s">
        <v>639</v>
      </c>
      <c r="P32" s="692"/>
      <c r="Q32" s="187">
        <v>10</v>
      </c>
      <c r="R32" s="187">
        <v>15</v>
      </c>
      <c r="S32" s="187">
        <v>20</v>
      </c>
      <c r="T32" s="707">
        <v>25</v>
      </c>
      <c r="U32" s="706"/>
      <c r="V32" s="188" t="s">
        <v>482</v>
      </c>
      <c r="W32" s="190" t="s">
        <v>53</v>
      </c>
      <c r="X32" s="190" t="s">
        <v>53</v>
      </c>
      <c r="Y32" s="190" t="s">
        <v>53</v>
      </c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</row>
    <row r="33" spans="1:43" ht="18" customHeight="1" x14ac:dyDescent="0.25">
      <c r="A33" s="691" t="s">
        <v>574</v>
      </c>
      <c r="B33" s="692"/>
      <c r="C33" s="469">
        <v>10</v>
      </c>
      <c r="D33" s="470"/>
      <c r="E33" s="469">
        <v>10</v>
      </c>
      <c r="F33" s="470"/>
      <c r="G33" s="170">
        <v>15</v>
      </c>
      <c r="H33" s="155" t="s">
        <v>482</v>
      </c>
      <c r="I33" s="171" t="s">
        <v>53</v>
      </c>
      <c r="J33" s="171" t="s">
        <v>53</v>
      </c>
      <c r="K33" s="171" t="s">
        <v>53</v>
      </c>
      <c r="L33" s="171" t="s">
        <v>53</v>
      </c>
      <c r="M33" s="171" t="s">
        <v>53</v>
      </c>
      <c r="N33" s="36"/>
      <c r="O33" s="691" t="s">
        <v>638</v>
      </c>
      <c r="P33" s="692"/>
      <c r="Q33" s="187">
        <v>5</v>
      </c>
      <c r="R33" s="187">
        <v>5</v>
      </c>
      <c r="S33" s="187">
        <v>5</v>
      </c>
      <c r="T33" s="707">
        <v>5</v>
      </c>
      <c r="U33" s="706"/>
      <c r="V33" s="188" t="s">
        <v>482</v>
      </c>
      <c r="W33" s="155" t="s">
        <v>642</v>
      </c>
      <c r="X33" s="190" t="s">
        <v>53</v>
      </c>
      <c r="Y33" s="190" t="s">
        <v>53</v>
      </c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</row>
    <row r="34" spans="1:43" ht="18" customHeight="1" x14ac:dyDescent="0.25">
      <c r="A34" s="691" t="s">
        <v>579</v>
      </c>
      <c r="B34" s="692"/>
      <c r="C34" s="469">
        <v>10</v>
      </c>
      <c r="D34" s="470"/>
      <c r="E34" s="469">
        <v>10</v>
      </c>
      <c r="F34" s="470"/>
      <c r="G34" s="170">
        <v>10</v>
      </c>
      <c r="H34" s="171" t="s">
        <v>53</v>
      </c>
      <c r="I34" s="171" t="s">
        <v>53</v>
      </c>
      <c r="J34" s="171" t="s">
        <v>53</v>
      </c>
      <c r="K34" s="171" t="s">
        <v>53</v>
      </c>
      <c r="L34" s="171">
        <v>5</v>
      </c>
      <c r="M34" s="171" t="s">
        <v>53</v>
      </c>
      <c r="N34" s="36"/>
      <c r="O34" s="691" t="s">
        <v>249</v>
      </c>
      <c r="P34" s="692"/>
      <c r="Q34" s="190">
        <v>2</v>
      </c>
      <c r="R34" s="187">
        <v>3</v>
      </c>
      <c r="S34" s="187">
        <v>4</v>
      </c>
      <c r="T34" s="707">
        <v>4</v>
      </c>
      <c r="U34" s="706"/>
      <c r="V34" s="190" t="s">
        <v>53</v>
      </c>
      <c r="W34" s="190" t="s">
        <v>53</v>
      </c>
      <c r="X34" s="190" t="s">
        <v>53</v>
      </c>
      <c r="Y34" s="190" t="s">
        <v>53</v>
      </c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</row>
    <row r="35" spans="1:43" ht="18" customHeight="1" x14ac:dyDescent="0.25">
      <c r="A35" s="691" t="s">
        <v>449</v>
      </c>
      <c r="B35" s="692"/>
      <c r="C35" s="469">
        <v>3</v>
      </c>
      <c r="D35" s="470"/>
      <c r="E35" s="469">
        <v>3</v>
      </c>
      <c r="F35" s="470"/>
      <c r="G35" s="170">
        <v>3</v>
      </c>
      <c r="H35" s="190" t="s">
        <v>53</v>
      </c>
      <c r="I35" s="190" t="s">
        <v>53</v>
      </c>
      <c r="J35" s="190" t="s">
        <v>53</v>
      </c>
      <c r="K35" s="190" t="s">
        <v>53</v>
      </c>
      <c r="L35" s="190" t="s">
        <v>53</v>
      </c>
      <c r="M35" s="190" t="s">
        <v>53</v>
      </c>
      <c r="N35" s="36"/>
      <c r="O35" s="691" t="s">
        <v>449</v>
      </c>
      <c r="P35" s="692"/>
      <c r="Q35" s="190">
        <v>2</v>
      </c>
      <c r="R35" s="187">
        <v>2</v>
      </c>
      <c r="S35" s="187">
        <v>2</v>
      </c>
      <c r="T35" s="469" t="s">
        <v>53</v>
      </c>
      <c r="U35" s="470"/>
      <c r="V35" s="190" t="s">
        <v>53</v>
      </c>
      <c r="W35" s="190" t="s">
        <v>53</v>
      </c>
      <c r="X35" s="190" t="s">
        <v>53</v>
      </c>
      <c r="Y35" s="190" t="s">
        <v>53</v>
      </c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ht="18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</row>
    <row r="37" spans="1:43" ht="18" customHeight="1" x14ac:dyDescent="0.25">
      <c r="A37" s="695" t="s">
        <v>590</v>
      </c>
      <c r="B37" s="696"/>
      <c r="C37" s="710" t="s">
        <v>437</v>
      </c>
      <c r="D37" s="711"/>
      <c r="E37" s="710" t="s">
        <v>439</v>
      </c>
      <c r="F37" s="711"/>
      <c r="G37" s="701" t="s">
        <v>438</v>
      </c>
      <c r="H37" s="691" t="s">
        <v>440</v>
      </c>
      <c r="I37" s="692"/>
      <c r="J37" s="691" t="s">
        <v>441</v>
      </c>
      <c r="K37" s="692"/>
      <c r="L37" s="691" t="s">
        <v>442</v>
      </c>
      <c r="M37" s="692"/>
      <c r="N37" s="36"/>
      <c r="O37" s="695" t="s">
        <v>646</v>
      </c>
      <c r="P37" s="696"/>
      <c r="Q37" s="701" t="s">
        <v>437</v>
      </c>
      <c r="R37" s="701" t="s">
        <v>439</v>
      </c>
      <c r="S37" s="701" t="s">
        <v>438</v>
      </c>
      <c r="T37" s="691" t="s">
        <v>440</v>
      </c>
      <c r="U37" s="692"/>
      <c r="V37" s="691" t="s">
        <v>441</v>
      </c>
      <c r="W37" s="692"/>
      <c r="X37" s="691" t="s">
        <v>442</v>
      </c>
      <c r="Y37" s="692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ht="30" customHeight="1" x14ac:dyDescent="0.25">
      <c r="A38" s="697"/>
      <c r="B38" s="698"/>
      <c r="C38" s="712"/>
      <c r="D38" s="713"/>
      <c r="E38" s="712"/>
      <c r="F38" s="713"/>
      <c r="G38" s="703"/>
      <c r="H38" s="154" t="s">
        <v>466</v>
      </c>
      <c r="I38" s="152" t="s">
        <v>586</v>
      </c>
      <c r="J38" s="154" t="s">
        <v>1513</v>
      </c>
      <c r="K38" s="152" t="s">
        <v>587</v>
      </c>
      <c r="L38" s="154" t="s">
        <v>588</v>
      </c>
      <c r="M38" s="152" t="s">
        <v>589</v>
      </c>
      <c r="N38" s="36"/>
      <c r="O38" s="697"/>
      <c r="P38" s="698"/>
      <c r="Q38" s="703"/>
      <c r="R38" s="703"/>
      <c r="S38" s="703"/>
      <c r="T38" s="154" t="s">
        <v>446</v>
      </c>
      <c r="U38" s="152" t="s">
        <v>466</v>
      </c>
      <c r="V38" s="154" t="s">
        <v>647</v>
      </c>
      <c r="W38" s="152" t="s">
        <v>648</v>
      </c>
      <c r="X38" s="154" t="s">
        <v>649</v>
      </c>
      <c r="Y38" s="152" t="s">
        <v>650</v>
      </c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 ht="18" customHeight="1" x14ac:dyDescent="0.25">
      <c r="A39" s="542" t="s">
        <v>248</v>
      </c>
      <c r="B39" s="542"/>
      <c r="C39" s="708"/>
      <c r="D39" s="709"/>
      <c r="E39" s="708"/>
      <c r="F39" s="709"/>
      <c r="G39" s="173"/>
      <c r="H39" s="172"/>
      <c r="I39" s="174"/>
      <c r="J39" s="172"/>
      <c r="K39" s="174"/>
      <c r="L39" s="172"/>
      <c r="M39" s="174"/>
      <c r="N39" s="36"/>
      <c r="O39" s="542" t="s">
        <v>248</v>
      </c>
      <c r="P39" s="542"/>
      <c r="Q39" s="101"/>
      <c r="R39" s="348"/>
      <c r="S39" s="185"/>
      <c r="T39" s="184"/>
      <c r="U39" s="186"/>
      <c r="V39" s="184"/>
      <c r="W39" s="186"/>
      <c r="X39" s="184"/>
      <c r="Y39" s="18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</row>
    <row r="40" spans="1:43" ht="18" customHeight="1" x14ac:dyDescent="0.25">
      <c r="A40" s="542" t="s">
        <v>247</v>
      </c>
      <c r="B40" s="542"/>
      <c r="C40" s="469" t="str">
        <f>IF(AND(SUM(Skills!$G$11+Skills!$H$11)&gt;=4,OR(General!Y7=General!AH11,General!Y7=General!AH25,General!Y7=General!AH19)),"Yes","No")</f>
        <v>No</v>
      </c>
      <c r="D40" s="470"/>
      <c r="E40" s="469" t="str">
        <f>IF(AND(SUM(Skills!$G$11+Skills!$H$11)&gt;=6,OR(General!Y7=General!AH11,General!Y7=General!AH25,General!Y7=General!AH19)),"Yes","No")</f>
        <v>No</v>
      </c>
      <c r="F40" s="470"/>
      <c r="G40" s="175" t="str">
        <f>IF(AND(SUM(Skills!$G$11+Skills!$H$11)&gt;=8,OR(General!Y7=General!AH11,General!Y7=General!AH25,General!Y7=General!AH19)),"Yes","No")</f>
        <v>No</v>
      </c>
      <c r="H40" s="175" t="str">
        <f>IF(AND(SUM(Skills!$G$11+Skills!$H$11)&gt;=10,OR(General!Y7=General!AH11,General!Y7=General!AH25,General!Y7=General!AH19)),"Yes","No")</f>
        <v>No</v>
      </c>
      <c r="I40" s="175" t="str">
        <f>IF(AND(SUM(Skills!$G$11+Skills!$H$11)&gt;=10,OR(General!Y7=General!AH11,General!Y7=General!AH25,General!Y7=General!AH19)),"Yes","No")</f>
        <v>No</v>
      </c>
      <c r="J40" s="175" t="str">
        <f>IF(AND(SUM(Skills!$G$11+Skills!$H$11)&gt;=12,OR(General!Y7=General!AH11,General!Y7=General!AH25,General!Y7=General!AH19)),"Yes","No")</f>
        <v>No</v>
      </c>
      <c r="K40" s="175" t="str">
        <f>IF(AND(SUM(Skills!$G$11+Skills!$H$11)&gt;=12,OR(General!Y7=General!AH11,General!Y7=General!AH25,General!Y7=General!AH19)),"Yes","No")</f>
        <v>No</v>
      </c>
      <c r="L40" s="175" t="str">
        <f>IF(AND(SUM(Skills!$G$11+Skills!$H$11)&gt;=14,OR(General!Y7=General!AH11,General!Y7=General!AH25,General!Y7=General!AH19)),"Yes","No")</f>
        <v>No</v>
      </c>
      <c r="M40" s="176" t="str">
        <f>IF(AND(SUM(Skills!$G$11+Skills!$H$11)&gt;=14,OR(General!Y7=General!AH11,General!Y7=General!AH25,General!Y7=General!AH19)),"Yes","No")</f>
        <v>No</v>
      </c>
      <c r="N40" s="36"/>
      <c r="O40" s="542" t="s">
        <v>247</v>
      </c>
      <c r="P40" s="542"/>
      <c r="Q40" s="190" t="str">
        <f>IF(AND(SUM(Skills!$G$11+Skills!$H$11)&gt;=6,SUM(Skills!$G$36+Skills!$H$36)&gt;=2),"Yes","No")</f>
        <v>No</v>
      </c>
      <c r="R40" s="190" t="str">
        <f>IF(AND(SUM(Skills!$G$11+Skills!$H$11)&gt;=8,SUM(Skills!$G$36+Skills!$H$36)&gt;=4),"Yes","No")</f>
        <v>No</v>
      </c>
      <c r="S40" s="190" t="str">
        <f>IF(AND(SUM(Skills!$G$11+Skills!$H$11)&gt;=10,SUM(Skills!$G$36+Skills!$H$36)&gt;=6),"Yes","No")</f>
        <v>No</v>
      </c>
      <c r="T40" s="190" t="str">
        <f>IF(AND(SUM(Skills!$G$11+Skills!$H$11)&gt;=12,SUM(Skills!$G$36+Skills!$H$36)&gt;=8),"Yes","No")</f>
        <v>No</v>
      </c>
      <c r="U40" s="190" t="str">
        <f>IF(AND(SUM(Skills!$G$11+Skills!$H$11)&gt;=12,SUM(Skills!$G$36+Skills!$H$36)&gt;=8),"Yes","No")</f>
        <v>No</v>
      </c>
      <c r="V40" s="190" t="str">
        <f>IF(AND(SUM(Skills!$G$11+Skills!$H$11)&gt;=14,SUM(Skills!$G$36+Skills!$H$36)&gt;=10),"Yes","No")</f>
        <v>No</v>
      </c>
      <c r="W40" s="190" t="str">
        <f>IF(AND(SUM(Skills!$G$11+Skills!$H$11)&gt;=14,SUM(Skills!$G$36+Skills!$H$36)&gt;=10),"Yes","No")</f>
        <v>No</v>
      </c>
      <c r="X40" s="190" t="str">
        <f>IF(AND(SUM(Skills!$G$11+Skills!$H$11)&gt;=16,SUM(Skills!$G$36+Skills!$H$36)&gt;=12),"Yes","No")</f>
        <v>No</v>
      </c>
      <c r="Y40" s="190" t="str">
        <f>IF(AND(SUM(Skills!$G$11+Skills!$H$11)&gt;=16,SUM(Skills!$G$36+Skills!$H$36)&gt;=12),"Yes","No")</f>
        <v>No</v>
      </c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</row>
    <row r="41" spans="1:43" ht="18" customHeight="1" x14ac:dyDescent="0.25">
      <c r="A41" s="691" t="s">
        <v>582</v>
      </c>
      <c r="B41" s="692"/>
      <c r="C41" s="469">
        <v>2</v>
      </c>
      <c r="D41" s="470"/>
      <c r="E41" s="469">
        <v>2</v>
      </c>
      <c r="F41" s="470"/>
      <c r="G41" s="176">
        <v>3</v>
      </c>
      <c r="H41" s="176" t="s">
        <v>53</v>
      </c>
      <c r="I41" s="176" t="s">
        <v>53</v>
      </c>
      <c r="J41" s="155" t="s">
        <v>450</v>
      </c>
      <c r="K41" s="155" t="s">
        <v>450</v>
      </c>
      <c r="L41" s="155" t="s">
        <v>450</v>
      </c>
      <c r="M41" s="155" t="s">
        <v>450</v>
      </c>
      <c r="N41" s="36"/>
      <c r="O41" s="691" t="s">
        <v>582</v>
      </c>
      <c r="P41" s="692"/>
      <c r="Q41" s="190">
        <v>2</v>
      </c>
      <c r="R41" s="190">
        <v>2</v>
      </c>
      <c r="S41" s="190">
        <v>3</v>
      </c>
      <c r="T41" s="155" t="s">
        <v>450</v>
      </c>
      <c r="U41" s="155" t="s">
        <v>450</v>
      </c>
      <c r="V41" s="190" t="s">
        <v>53</v>
      </c>
      <c r="W41" s="190" t="s">
        <v>53</v>
      </c>
      <c r="X41" s="155" t="s">
        <v>517</v>
      </c>
      <c r="Y41" s="155" t="s">
        <v>450</v>
      </c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</row>
    <row r="42" spans="1:43" ht="18" customHeight="1" x14ac:dyDescent="0.25">
      <c r="A42" s="691" t="s">
        <v>474</v>
      </c>
      <c r="B42" s="692"/>
      <c r="C42" s="469">
        <f>10+ROUNDDOWN((Skills!$G$11+Skills!$H$11)/2,0)+General!$N$16</f>
        <v>5</v>
      </c>
      <c r="D42" s="470"/>
      <c r="E42" s="469">
        <f>10+ROUNDDOWN((Skills!$G$11+Skills!$H$11)/2,0)+General!$N$16</f>
        <v>5</v>
      </c>
      <c r="F42" s="470"/>
      <c r="G42" s="175">
        <f>10+ROUNDDOWN((Skills!$G$11+Skills!$H$11)/2,0)+General!$N$16</f>
        <v>5</v>
      </c>
      <c r="H42" s="175">
        <f>10+ROUNDDOWN((Skills!$G$11+Skills!$H$11)/2,0)+General!$N$16</f>
        <v>5</v>
      </c>
      <c r="I42" s="175">
        <f>10+ROUNDDOWN((Skills!$G$11+Skills!$H$11)/2,0)+General!$N$16</f>
        <v>5</v>
      </c>
      <c r="J42" s="175">
        <f>10+ROUNDDOWN((Skills!$G$11+Skills!$H$11)/2,0)+General!$N$16</f>
        <v>5</v>
      </c>
      <c r="K42" s="175">
        <f>10+ROUNDDOWN((Skills!$G$11+Skills!$H$11)/2,0)+General!$N$16</f>
        <v>5</v>
      </c>
      <c r="L42" s="175">
        <f>10+ROUNDDOWN((Skills!$G$11+Skills!$H$11)/2,0)+General!$N$16</f>
        <v>5</v>
      </c>
      <c r="M42" s="176">
        <f>10+ROUNDDOWN((Skills!$G$11+Skills!$H$11)/2,0)+General!$N$16</f>
        <v>5</v>
      </c>
      <c r="N42" s="36"/>
      <c r="O42" s="691" t="s">
        <v>474</v>
      </c>
      <c r="P42" s="692"/>
      <c r="Q42" s="187">
        <f>10+ROUNDDOWN((Skills!$G$11+Skills!$H$11)/2,0)+General!$N$14</f>
        <v>5</v>
      </c>
      <c r="R42" s="187">
        <f>10+ROUNDDOWN((Skills!$G$11+Skills!$H$11)/2,0)+General!$N$14</f>
        <v>5</v>
      </c>
      <c r="S42" s="187">
        <f>10+ROUNDDOWN((Skills!$G$11+Skills!$H$11)/2,0)+General!$N$14</f>
        <v>5</v>
      </c>
      <c r="T42" s="187">
        <f>10+ROUNDDOWN((Skills!$G$11+Skills!$H$11)/2,0)+General!$N$14</f>
        <v>5</v>
      </c>
      <c r="U42" s="187">
        <f>10+ROUNDDOWN((Skills!$G$11+Skills!$H$11)/2,0)+General!$N$14</f>
        <v>5</v>
      </c>
      <c r="V42" s="187">
        <f>10+ROUNDDOWN((Skills!$G$11+Skills!$H$11)/2,0)+General!$N$14</f>
        <v>5</v>
      </c>
      <c r="W42" s="187">
        <f>10+ROUNDDOWN((Skills!$G$11+Skills!$H$11)/2,0)+General!$N$14</f>
        <v>5</v>
      </c>
      <c r="X42" s="187">
        <f>10+ROUNDDOWN((Skills!$G$11+Skills!$H$11)/2,0)+General!$N$14</f>
        <v>5</v>
      </c>
      <c r="Y42" s="190">
        <f>10+ROUNDDOWN((Skills!$G$11+Skills!$H$11)/2,0)+General!$N$14</f>
        <v>5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 ht="18" customHeight="1" x14ac:dyDescent="0.25">
      <c r="A43" s="542" t="s">
        <v>583</v>
      </c>
      <c r="B43" s="542"/>
      <c r="C43" s="536">
        <v>60</v>
      </c>
      <c r="D43" s="538"/>
      <c r="E43" s="536">
        <v>60</v>
      </c>
      <c r="F43" s="538"/>
      <c r="G43" s="177">
        <v>70</v>
      </c>
      <c r="H43" s="176" t="s">
        <v>53</v>
      </c>
      <c r="I43" s="176" t="s">
        <v>53</v>
      </c>
      <c r="J43" s="176" t="s">
        <v>53</v>
      </c>
      <c r="K43" s="176" t="s">
        <v>53</v>
      </c>
      <c r="L43" s="176" t="s">
        <v>53</v>
      </c>
      <c r="M43" s="176" t="s">
        <v>53</v>
      </c>
      <c r="N43" s="36"/>
      <c r="O43" s="691" t="s">
        <v>584</v>
      </c>
      <c r="P43" s="692"/>
      <c r="Q43" s="187">
        <v>10</v>
      </c>
      <c r="R43" s="187">
        <v>15</v>
      </c>
      <c r="S43" s="187">
        <v>15</v>
      </c>
      <c r="T43" s="190" t="s">
        <v>53</v>
      </c>
      <c r="U43" s="190" t="s">
        <v>53</v>
      </c>
      <c r="V43" s="190" t="s">
        <v>53</v>
      </c>
      <c r="W43" s="190" t="s">
        <v>53</v>
      </c>
      <c r="X43" s="190" t="s">
        <v>53</v>
      </c>
      <c r="Y43" s="190" t="s">
        <v>53</v>
      </c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ht="18" customHeight="1" x14ac:dyDescent="0.25">
      <c r="A44" s="691" t="s">
        <v>467</v>
      </c>
      <c r="B44" s="692"/>
      <c r="C44" s="469" t="s">
        <v>510</v>
      </c>
      <c r="D44" s="470"/>
      <c r="E44" s="469" t="s">
        <v>475</v>
      </c>
      <c r="F44" s="470"/>
      <c r="G44" s="175" t="s">
        <v>477</v>
      </c>
      <c r="H44" s="176" t="s">
        <v>53</v>
      </c>
      <c r="I44" s="155" t="s">
        <v>470</v>
      </c>
      <c r="J44" s="176" t="s">
        <v>53</v>
      </c>
      <c r="K44" s="155" t="s">
        <v>470</v>
      </c>
      <c r="L44" s="176" t="s">
        <v>53</v>
      </c>
      <c r="M44" s="176" t="s">
        <v>53</v>
      </c>
      <c r="N44" s="36"/>
      <c r="O44" s="691" t="s">
        <v>638</v>
      </c>
      <c r="P44" s="692"/>
      <c r="Q44" s="190">
        <v>5</v>
      </c>
      <c r="R44" s="187">
        <v>5</v>
      </c>
      <c r="S44" s="187">
        <v>5</v>
      </c>
      <c r="T44" s="190" t="s">
        <v>53</v>
      </c>
      <c r="U44" s="190" t="s">
        <v>53</v>
      </c>
      <c r="V44" s="190" t="s">
        <v>53</v>
      </c>
      <c r="W44" s="190" t="s">
        <v>53</v>
      </c>
      <c r="X44" s="190" t="s">
        <v>53</v>
      </c>
      <c r="Y44" s="190" t="s">
        <v>53</v>
      </c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</row>
    <row r="45" spans="1:43" ht="18" customHeight="1" x14ac:dyDescent="0.25">
      <c r="A45" s="691" t="s">
        <v>584</v>
      </c>
      <c r="B45" s="692"/>
      <c r="C45" s="469">
        <v>10</v>
      </c>
      <c r="D45" s="470"/>
      <c r="E45" s="469">
        <v>10</v>
      </c>
      <c r="F45" s="470"/>
      <c r="G45" s="175">
        <v>15</v>
      </c>
      <c r="H45" s="176" t="s">
        <v>53</v>
      </c>
      <c r="I45" s="155" t="s">
        <v>482</v>
      </c>
      <c r="J45" s="176" t="s">
        <v>53</v>
      </c>
      <c r="K45" s="155" t="s">
        <v>482</v>
      </c>
      <c r="L45" s="176" t="s">
        <v>53</v>
      </c>
      <c r="M45" s="176" t="s">
        <v>53</v>
      </c>
      <c r="N45" s="36"/>
      <c r="O45" s="691" t="s">
        <v>249</v>
      </c>
      <c r="P45" s="692"/>
      <c r="Q45" s="190">
        <v>2</v>
      </c>
      <c r="R45" s="187">
        <v>2</v>
      </c>
      <c r="S45" s="187">
        <v>3</v>
      </c>
      <c r="T45" s="155" t="s">
        <v>450</v>
      </c>
      <c r="U45" s="190" t="s">
        <v>53</v>
      </c>
      <c r="V45" s="190" t="s">
        <v>53</v>
      </c>
      <c r="W45" s="190" t="s">
        <v>53</v>
      </c>
      <c r="X45" s="190" t="s">
        <v>53</v>
      </c>
      <c r="Y45" s="190" t="s">
        <v>53</v>
      </c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</row>
    <row r="46" spans="1:43" ht="18" customHeight="1" x14ac:dyDescent="0.25">
      <c r="A46" s="691" t="s">
        <v>585</v>
      </c>
      <c r="B46" s="692"/>
      <c r="C46" s="469">
        <f>3*General!$N$14</f>
        <v>-15</v>
      </c>
      <c r="D46" s="470"/>
      <c r="E46" s="469">
        <f>5*General!$N$14</f>
        <v>-25</v>
      </c>
      <c r="F46" s="470"/>
      <c r="G46" s="175">
        <f>7*General!$N$14</f>
        <v>-35</v>
      </c>
      <c r="H46" s="176" t="s">
        <v>53</v>
      </c>
      <c r="I46" s="176" t="s">
        <v>53</v>
      </c>
      <c r="J46" s="176" t="s">
        <v>53</v>
      </c>
      <c r="K46" s="176" t="s">
        <v>53</v>
      </c>
      <c r="L46" s="176" t="s">
        <v>53</v>
      </c>
      <c r="M46" s="176">
        <f>10*General!$N$14</f>
        <v>-50</v>
      </c>
      <c r="N46" s="36"/>
      <c r="O46" s="691" t="s">
        <v>449</v>
      </c>
      <c r="P46" s="692"/>
      <c r="Q46" s="190">
        <v>3</v>
      </c>
      <c r="R46" s="187">
        <v>3</v>
      </c>
      <c r="S46" s="187">
        <v>2</v>
      </c>
      <c r="T46" s="190" t="s">
        <v>53</v>
      </c>
      <c r="U46" s="190" t="s">
        <v>53</v>
      </c>
      <c r="V46" s="190" t="s">
        <v>53</v>
      </c>
      <c r="W46" s="190" t="s">
        <v>53</v>
      </c>
      <c r="X46" s="190" t="s">
        <v>53</v>
      </c>
      <c r="Y46" s="155" t="s">
        <v>459</v>
      </c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</row>
    <row r="47" spans="1:43" ht="18" customHeight="1" x14ac:dyDescent="0.25">
      <c r="A47" s="691" t="s">
        <v>449</v>
      </c>
      <c r="B47" s="692"/>
      <c r="C47" s="469">
        <v>3</v>
      </c>
      <c r="D47" s="470"/>
      <c r="E47" s="469">
        <v>2</v>
      </c>
      <c r="F47" s="470"/>
      <c r="G47" s="175">
        <v>2</v>
      </c>
      <c r="H47" s="176" t="s">
        <v>53</v>
      </c>
      <c r="I47" s="176" t="s">
        <v>53</v>
      </c>
      <c r="J47" s="176" t="s">
        <v>53</v>
      </c>
      <c r="K47" s="176" t="s">
        <v>53</v>
      </c>
      <c r="L47" s="176" t="s">
        <v>53</v>
      </c>
      <c r="M47" s="176" t="s">
        <v>53</v>
      </c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</row>
    <row r="48" spans="1:43" ht="30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695" t="s">
        <v>651</v>
      </c>
      <c r="P48" s="696"/>
      <c r="Q48" s="701" t="s">
        <v>437</v>
      </c>
      <c r="R48" s="701" t="s">
        <v>439</v>
      </c>
      <c r="S48" s="701" t="s">
        <v>438</v>
      </c>
      <c r="T48" s="691" t="s">
        <v>440</v>
      </c>
      <c r="U48" s="692"/>
      <c r="V48" s="691" t="s">
        <v>441</v>
      </c>
      <c r="W48" s="692"/>
      <c r="X48" s="691" t="s">
        <v>442</v>
      </c>
      <c r="Y48" s="692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 ht="18" customHeight="1" x14ac:dyDescent="0.25">
      <c r="A49" s="695" t="s">
        <v>603</v>
      </c>
      <c r="B49" s="696"/>
      <c r="C49" s="710" t="s">
        <v>437</v>
      </c>
      <c r="D49" s="711"/>
      <c r="E49" s="710" t="s">
        <v>439</v>
      </c>
      <c r="F49" s="711"/>
      <c r="G49" s="701" t="s">
        <v>438</v>
      </c>
      <c r="H49" s="691" t="s">
        <v>440</v>
      </c>
      <c r="I49" s="692"/>
      <c r="J49" s="691" t="s">
        <v>441</v>
      </c>
      <c r="K49" s="692"/>
      <c r="L49" s="691" t="s">
        <v>442</v>
      </c>
      <c r="M49" s="692"/>
      <c r="N49" s="36"/>
      <c r="O49" s="697"/>
      <c r="P49" s="698"/>
      <c r="Q49" s="703"/>
      <c r="R49" s="703"/>
      <c r="S49" s="703"/>
      <c r="T49" s="154" t="s">
        <v>446</v>
      </c>
      <c r="U49" s="152" t="s">
        <v>466</v>
      </c>
      <c r="V49" s="154" t="s">
        <v>467</v>
      </c>
      <c r="W49" s="152" t="s">
        <v>453</v>
      </c>
      <c r="X49" s="154" t="s">
        <v>652</v>
      </c>
      <c r="Y49" s="152" t="s">
        <v>1104</v>
      </c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ht="18" customHeight="1" x14ac:dyDescent="0.25">
      <c r="A50" s="697"/>
      <c r="B50" s="698"/>
      <c r="C50" s="712"/>
      <c r="D50" s="713"/>
      <c r="E50" s="712"/>
      <c r="F50" s="713"/>
      <c r="G50" s="703"/>
      <c r="H50" s="154" t="s">
        <v>595</v>
      </c>
      <c r="I50" s="152" t="s">
        <v>596</v>
      </c>
      <c r="J50" s="154" t="s">
        <v>597</v>
      </c>
      <c r="K50" s="152" t="s">
        <v>598</v>
      </c>
      <c r="L50" s="154" t="s">
        <v>599</v>
      </c>
      <c r="M50" s="152" t="s">
        <v>600</v>
      </c>
      <c r="N50" s="36"/>
      <c r="O50" s="542" t="s">
        <v>248</v>
      </c>
      <c r="P50" s="542"/>
      <c r="Q50" s="101"/>
      <c r="R50" s="185"/>
      <c r="S50" s="185"/>
      <c r="T50" s="184"/>
      <c r="U50" s="186"/>
      <c r="V50" s="184"/>
      <c r="W50" s="186"/>
      <c r="X50" s="184"/>
      <c r="Y50" s="18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</row>
    <row r="51" spans="1:43" ht="18" customHeight="1" x14ac:dyDescent="0.25">
      <c r="A51" s="542" t="s">
        <v>248</v>
      </c>
      <c r="B51" s="542"/>
      <c r="C51" s="708"/>
      <c r="D51" s="709"/>
      <c r="E51" s="708"/>
      <c r="F51" s="709"/>
      <c r="G51" s="348"/>
      <c r="H51" s="172"/>
      <c r="I51" s="174"/>
      <c r="J51" s="172"/>
      <c r="K51" s="174"/>
      <c r="L51" s="172"/>
      <c r="M51" s="174"/>
      <c r="N51" s="36"/>
      <c r="O51" s="542" t="s">
        <v>247</v>
      </c>
      <c r="P51" s="542"/>
      <c r="Q51" s="190" t="str">
        <f>IF(AND(SUM(Skills!$G$11+Skills!$H$11)&gt;=9,SUM(Skills!$G$31+Skills!$H$31)&gt;=4,SUM(Skills!$G$44+Skills!$H$44)&gt;=4),"Yes","No")</f>
        <v>No</v>
      </c>
      <c r="R51" s="190" t="str">
        <f>IF(AND(SUM(Skills!$G$11+Skills!$H$11)&gt;=11,SUM(Skills!$G$31+Skills!$H$31)&gt;=6,SUM(Skills!$G$44+Skills!$H$44)&gt;=6),"Yes","No")</f>
        <v>No</v>
      </c>
      <c r="S51" s="190" t="str">
        <f>IF(AND(SUM(Skills!$G$11+Skills!$H$11)&gt;=13,SUM(Skills!$G$31+Skills!$H$31)&gt;=8,SUM(Skills!$G$44+Skills!$H$44)&gt;=8),"Yes","No")</f>
        <v>No</v>
      </c>
      <c r="T51" s="190" t="str">
        <f>IF(AND(SUM(Skills!$G$11+Skills!$H$11)&gt;=15,SUM(Skills!$G$31+Skills!$H$31)&gt;=10,SUM(Skills!$G$44+Skills!$H$44)&gt;=10),"Yes","No")</f>
        <v>No</v>
      </c>
      <c r="U51" s="190" t="str">
        <f>IF(AND(SUM(Skills!$G$11+Skills!$H$11)&gt;=15,SUM(Skills!$G$31+Skills!$H$31)&gt;=10,SUM(Skills!$G$44+Skills!$H$44)&gt;=10),"Yes","No")</f>
        <v>No</v>
      </c>
      <c r="V51" s="190" t="str">
        <f>IF(AND(SUM(Skills!$G$11+Skills!$H$11)&gt;=17,SUM(Skills!$G$31+Skills!$H$31)&gt;=12,SUM(Skills!$G$44+Skills!$H$44)&gt;=12),"Yes","No")</f>
        <v>No</v>
      </c>
      <c r="W51" s="190" t="str">
        <f>IF(AND(SUM(Skills!$G$11+Skills!$H$11)&gt;=17,SUM(Skills!$G$31+Skills!$H$31)&gt;=12,SUM(Skills!$G$44+Skills!$H$44)&gt;=12),"Yes","No")</f>
        <v>No</v>
      </c>
      <c r="X51" s="190" t="str">
        <f>IF(AND(SUM(Skills!$G$11+Skills!$H$11)&gt;=19,SUM(Skills!$G$31+Skills!$H$31)&gt;=14,SUM(Skills!$G$44+Skills!$H$44)&gt;=14),"Yes","No")</f>
        <v>No</v>
      </c>
      <c r="Y51" s="190" t="str">
        <f>IF(AND(SUM(Skills!$G$11+Skills!$H$11)&gt;=19,SUM(Skills!$G$31+Skills!$H$31)&gt;=14,SUM(Skills!$G$44+Skills!$H$44)&gt;=14),"Yes","No")</f>
        <v>No</v>
      </c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</row>
    <row r="52" spans="1:43" ht="18" customHeight="1" x14ac:dyDescent="0.25">
      <c r="A52" s="542" t="s">
        <v>247</v>
      </c>
      <c r="B52" s="542"/>
      <c r="C52" s="469" t="str">
        <f>IF(SUM(Skills!$G$11+Skills!$H$11)&gt;=2,"Yes","No")</f>
        <v>No</v>
      </c>
      <c r="D52" s="470"/>
      <c r="E52" s="469" t="str">
        <f>IF(SUM(Skills!$G$11+Skills!$H$11)&gt;=4,"Yes","No")</f>
        <v>No</v>
      </c>
      <c r="F52" s="470"/>
      <c r="G52" s="175" t="str">
        <f>IF(SUM(Skills!$G$11+Skills!$H$11)&gt;=6,"Yes","No")</f>
        <v>No</v>
      </c>
      <c r="H52" s="175" t="str">
        <f>IF(SUM(Skills!$G$11+Skills!$H$11)&gt;=8,"Yes","No")</f>
        <v>No</v>
      </c>
      <c r="I52" s="175" t="str">
        <f>IF(SUM(Skills!$G$11+Skills!$H$11)&gt;=8,"Yes","No")</f>
        <v>No</v>
      </c>
      <c r="J52" s="175" t="str">
        <f>IF(SUM(Skills!$G$11+Skills!$H$11)&gt;=10,"Yes","No")</f>
        <v>No</v>
      </c>
      <c r="K52" s="175" t="str">
        <f>IF(SUM(Skills!$G$11+Skills!$H$11)&gt;=10,"Yes","No")</f>
        <v>No</v>
      </c>
      <c r="L52" s="175" t="str">
        <f>IF(SUM(Skills!$G$11+Skills!$H$11)&gt;=12,"Yes","No")</f>
        <v>No</v>
      </c>
      <c r="M52" s="176" t="str">
        <f>IF(SUM(Skills!$G$11+Skills!$H$11)&gt;=12,"Yes","No")</f>
        <v>No</v>
      </c>
      <c r="N52" s="36"/>
      <c r="O52" s="691" t="s">
        <v>582</v>
      </c>
      <c r="P52" s="692"/>
      <c r="Q52" s="190">
        <v>3</v>
      </c>
      <c r="R52" s="190">
        <v>3</v>
      </c>
      <c r="S52" s="190">
        <v>4</v>
      </c>
      <c r="T52" s="155" t="s">
        <v>450</v>
      </c>
      <c r="U52" s="155" t="s">
        <v>450</v>
      </c>
      <c r="V52" s="190" t="s">
        <v>53</v>
      </c>
      <c r="W52" s="190" t="s">
        <v>53</v>
      </c>
      <c r="X52" s="155" t="s">
        <v>450</v>
      </c>
      <c r="Y52" s="155" t="s">
        <v>450</v>
      </c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</row>
    <row r="53" spans="1:43" ht="30" customHeight="1" x14ac:dyDescent="0.25">
      <c r="A53" s="691" t="s">
        <v>581</v>
      </c>
      <c r="B53" s="692"/>
      <c r="C53" s="469" t="s">
        <v>591</v>
      </c>
      <c r="D53" s="470"/>
      <c r="E53" s="469" t="s">
        <v>591</v>
      </c>
      <c r="F53" s="470"/>
      <c r="G53" s="176" t="s">
        <v>591</v>
      </c>
      <c r="H53" s="176" t="s">
        <v>591</v>
      </c>
      <c r="I53" s="176" t="s">
        <v>591</v>
      </c>
      <c r="J53" s="176" t="s">
        <v>591</v>
      </c>
      <c r="K53" s="176" t="s">
        <v>591</v>
      </c>
      <c r="L53" s="176" t="s">
        <v>591</v>
      </c>
      <c r="M53" s="176" t="s">
        <v>591</v>
      </c>
      <c r="N53" s="36"/>
      <c r="O53" s="691" t="s">
        <v>474</v>
      </c>
      <c r="P53" s="692"/>
      <c r="Q53" s="187">
        <f>10+ROUNDDOWN((Skills!$G$11+Skills!$H$11)/2,0)+General!$N$14</f>
        <v>5</v>
      </c>
      <c r="R53" s="187">
        <f>10+ROUNDDOWN((Skills!$G$11+Skills!$H$11)/2,0)+General!$N$14</f>
        <v>5</v>
      </c>
      <c r="S53" s="187">
        <f>10+ROUNDDOWN((Skills!$G$11+Skills!$H$11)/2,0)+General!$N$14</f>
        <v>5</v>
      </c>
      <c r="T53" s="187">
        <f>10+ROUNDDOWN((Skills!$G$11+Skills!$H$11)/2,0)+General!$N$14</f>
        <v>5</v>
      </c>
      <c r="U53" s="187">
        <f>10+ROUNDDOWN((Skills!$G$11+Skills!$H$11)/2,0)+General!$N$14</f>
        <v>5</v>
      </c>
      <c r="V53" s="187">
        <f>10+ROUNDDOWN((Skills!$G$11+Skills!$H$11)/2,0)+General!$N$14</f>
        <v>5</v>
      </c>
      <c r="W53" s="187">
        <f>10+ROUNDDOWN((Skills!$G$11+Skills!$H$11)/2,0)+General!$N$14</f>
        <v>5</v>
      </c>
      <c r="X53" s="187">
        <f>10+ROUNDDOWN((Skills!$G$11+Skills!$H$11)/2,0)+General!$N$14</f>
        <v>5</v>
      </c>
      <c r="Y53" s="190">
        <f>10+ROUNDDOWN((Skills!$G$11+Skills!$H$11)/2,0)+General!$N$14</f>
        <v>5</v>
      </c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</row>
    <row r="54" spans="1:43" ht="18" customHeight="1" x14ac:dyDescent="0.25">
      <c r="A54" s="691" t="s">
        <v>779</v>
      </c>
      <c r="B54" s="692"/>
      <c r="C54" s="707">
        <v>1</v>
      </c>
      <c r="D54" s="470"/>
      <c r="E54" s="469" t="s">
        <v>593</v>
      </c>
      <c r="F54" s="470"/>
      <c r="G54" s="175" t="s">
        <v>593</v>
      </c>
      <c r="H54" s="176" t="s">
        <v>53</v>
      </c>
      <c r="I54" s="176" t="s">
        <v>53</v>
      </c>
      <c r="J54" s="176" t="s">
        <v>53</v>
      </c>
      <c r="K54" s="155" t="s">
        <v>450</v>
      </c>
      <c r="L54" s="176" t="s">
        <v>53</v>
      </c>
      <c r="M54" s="155" t="s">
        <v>450</v>
      </c>
      <c r="N54" s="36"/>
      <c r="O54" s="691" t="s">
        <v>467</v>
      </c>
      <c r="P54" s="692"/>
      <c r="Q54" s="187">
        <f>3*General!$N$16</f>
        <v>-15</v>
      </c>
      <c r="R54" s="187">
        <f>3*General!$N$16</f>
        <v>-15</v>
      </c>
      <c r="S54" s="187">
        <f>3*General!$N$16</f>
        <v>-15</v>
      </c>
      <c r="T54" s="190" t="s">
        <v>53</v>
      </c>
      <c r="U54" s="190" t="s">
        <v>53</v>
      </c>
      <c r="V54" s="187">
        <f>4*General!$N$16</f>
        <v>-20</v>
      </c>
      <c r="W54" s="190" t="s">
        <v>53</v>
      </c>
      <c r="X54" s="190" t="s">
        <v>53</v>
      </c>
      <c r="Y54" s="190">
        <f>IF(V50="Yes",5*General!$N$16,4*General!$N$16)</f>
        <v>-20</v>
      </c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</row>
    <row r="55" spans="1:43" ht="18" customHeight="1" x14ac:dyDescent="0.25">
      <c r="A55" s="542" t="s">
        <v>780</v>
      </c>
      <c r="B55" s="542"/>
      <c r="C55" s="536" t="s">
        <v>53</v>
      </c>
      <c r="D55" s="538"/>
      <c r="E55" s="536" t="s">
        <v>53</v>
      </c>
      <c r="F55" s="538"/>
      <c r="G55" s="177">
        <v>1</v>
      </c>
      <c r="H55" s="176" t="s">
        <v>53</v>
      </c>
      <c r="I55" s="176" t="s">
        <v>53</v>
      </c>
      <c r="J55" s="183" t="s">
        <v>450</v>
      </c>
      <c r="K55" s="176" t="s">
        <v>53</v>
      </c>
      <c r="L55" s="183" t="s">
        <v>450</v>
      </c>
      <c r="M55" s="176" t="s">
        <v>53</v>
      </c>
      <c r="N55" s="36"/>
      <c r="O55" s="691" t="s">
        <v>249</v>
      </c>
      <c r="P55" s="692"/>
      <c r="Q55" s="187">
        <v>2</v>
      </c>
      <c r="R55" s="187">
        <v>2</v>
      </c>
      <c r="S55" s="187">
        <v>3</v>
      </c>
      <c r="T55" s="188" t="s">
        <v>450</v>
      </c>
      <c r="U55" s="190" t="s">
        <v>53</v>
      </c>
      <c r="V55" s="190" t="s">
        <v>53</v>
      </c>
      <c r="W55" s="190" t="s">
        <v>53</v>
      </c>
      <c r="X55" s="190" t="s">
        <v>53</v>
      </c>
      <c r="Y55" s="155" t="s">
        <v>450</v>
      </c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</row>
    <row r="56" spans="1:43" ht="18" customHeight="1" x14ac:dyDescent="0.25">
      <c r="A56" s="691" t="s">
        <v>781</v>
      </c>
      <c r="B56" s="692"/>
      <c r="C56" s="707">
        <v>1</v>
      </c>
      <c r="D56" s="470"/>
      <c r="E56" s="469">
        <v>1</v>
      </c>
      <c r="F56" s="470"/>
      <c r="G56" s="175" t="s">
        <v>593</v>
      </c>
      <c r="H56" s="176" t="s">
        <v>53</v>
      </c>
      <c r="I56" s="176" t="s">
        <v>53</v>
      </c>
      <c r="J56" s="176" t="s">
        <v>53</v>
      </c>
      <c r="K56" s="155" t="s">
        <v>450</v>
      </c>
      <c r="L56" s="176" t="s">
        <v>53</v>
      </c>
      <c r="M56" s="155" t="s">
        <v>450</v>
      </c>
      <c r="N56" s="36"/>
      <c r="O56" s="691" t="s">
        <v>449</v>
      </c>
      <c r="P56" s="692"/>
      <c r="Q56" s="190">
        <v>4</v>
      </c>
      <c r="R56" s="187">
        <v>3</v>
      </c>
      <c r="S56" s="187">
        <v>3</v>
      </c>
      <c r="T56" s="190" t="s">
        <v>53</v>
      </c>
      <c r="U56" s="190" t="s">
        <v>53</v>
      </c>
      <c r="V56" s="190" t="s">
        <v>53</v>
      </c>
      <c r="W56" s="155" t="s">
        <v>459</v>
      </c>
      <c r="X56" s="190" t="s">
        <v>53</v>
      </c>
      <c r="Y56" s="190" t="s">
        <v>53</v>
      </c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</row>
    <row r="57" spans="1:43" ht="18" customHeight="1" x14ac:dyDescent="0.25">
      <c r="A57" s="691" t="s">
        <v>782</v>
      </c>
      <c r="B57" s="692"/>
      <c r="C57" s="707">
        <v>1</v>
      </c>
      <c r="D57" s="470"/>
      <c r="E57" s="469">
        <v>1</v>
      </c>
      <c r="F57" s="470"/>
      <c r="G57" s="175" t="s">
        <v>593</v>
      </c>
      <c r="H57" s="176" t="s">
        <v>53</v>
      </c>
      <c r="I57" s="176" t="s">
        <v>53</v>
      </c>
      <c r="J57" s="155" t="s">
        <v>450</v>
      </c>
      <c r="K57" s="176" t="s">
        <v>53</v>
      </c>
      <c r="L57" s="183" t="s">
        <v>450</v>
      </c>
      <c r="M57" s="176" t="s">
        <v>53</v>
      </c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M57" s="36"/>
      <c r="AN57" s="36"/>
      <c r="AO57" s="36"/>
      <c r="AP57" s="36"/>
      <c r="AQ57" s="36"/>
    </row>
    <row r="58" spans="1:43" ht="18" customHeight="1" x14ac:dyDescent="0.25">
      <c r="A58" s="691" t="s">
        <v>592</v>
      </c>
      <c r="B58" s="692"/>
      <c r="C58" s="707">
        <v>1</v>
      </c>
      <c r="D58" s="470"/>
      <c r="E58" s="469" t="s">
        <v>593</v>
      </c>
      <c r="F58" s="470"/>
      <c r="G58" s="175" t="s">
        <v>594</v>
      </c>
      <c r="H58" s="176" t="s">
        <v>53</v>
      </c>
      <c r="I58" s="156" t="s">
        <v>517</v>
      </c>
      <c r="J58" s="176" t="s">
        <v>53</v>
      </c>
      <c r="K58" s="176" t="s">
        <v>53</v>
      </c>
      <c r="L58" s="176" t="s">
        <v>53</v>
      </c>
      <c r="M58" s="176" t="s">
        <v>53</v>
      </c>
      <c r="N58" s="36"/>
      <c r="O58" s="695" t="s">
        <v>653</v>
      </c>
      <c r="P58" s="696"/>
      <c r="Q58" s="701" t="s">
        <v>437</v>
      </c>
      <c r="R58" s="701" t="s">
        <v>439</v>
      </c>
      <c r="S58" s="701" t="s">
        <v>438</v>
      </c>
      <c r="T58" s="691" t="s">
        <v>440</v>
      </c>
      <c r="U58" s="692"/>
      <c r="V58" s="691" t="s">
        <v>441</v>
      </c>
      <c r="W58" s="692"/>
      <c r="X58" s="691" t="s">
        <v>442</v>
      </c>
      <c r="Y58" s="692"/>
      <c r="Z58" s="36"/>
      <c r="AA58" s="36"/>
      <c r="AM58" s="36"/>
      <c r="AN58" s="36"/>
      <c r="AO58" s="36"/>
      <c r="AP58" s="36"/>
      <c r="AQ58" s="36"/>
    </row>
    <row r="59" spans="1:43" ht="30" x14ac:dyDescent="0.25">
      <c r="A59" s="691" t="s">
        <v>783</v>
      </c>
      <c r="B59" s="692"/>
      <c r="C59" s="536" t="s">
        <v>53</v>
      </c>
      <c r="D59" s="538"/>
      <c r="E59" s="707">
        <v>5</v>
      </c>
      <c r="F59" s="470"/>
      <c r="G59" s="175">
        <v>5</v>
      </c>
      <c r="H59" s="182" t="s">
        <v>53</v>
      </c>
      <c r="I59" s="176" t="s">
        <v>53</v>
      </c>
      <c r="J59" s="156" t="s">
        <v>482</v>
      </c>
      <c r="K59" s="176" t="s">
        <v>53</v>
      </c>
      <c r="L59" s="156" t="s">
        <v>482</v>
      </c>
      <c r="M59" s="176" t="s">
        <v>53</v>
      </c>
      <c r="N59" s="36"/>
      <c r="O59" s="697"/>
      <c r="P59" s="698"/>
      <c r="Q59" s="703"/>
      <c r="R59" s="703"/>
      <c r="S59" s="703"/>
      <c r="T59" s="154" t="s">
        <v>656</v>
      </c>
      <c r="U59" s="152" t="s">
        <v>657</v>
      </c>
      <c r="V59" s="154" t="s">
        <v>658</v>
      </c>
      <c r="W59" s="152" t="s">
        <v>659</v>
      </c>
      <c r="X59" s="154" t="s">
        <v>453</v>
      </c>
      <c r="Y59" s="152" t="s">
        <v>660</v>
      </c>
      <c r="Z59" s="36"/>
      <c r="AA59" s="36"/>
      <c r="AM59" s="36"/>
      <c r="AN59" s="36"/>
      <c r="AO59" s="36"/>
      <c r="AP59" s="36"/>
      <c r="AQ59" s="36"/>
    </row>
    <row r="60" spans="1:43" ht="18" customHeight="1" x14ac:dyDescent="0.25">
      <c r="A60" s="691" t="s">
        <v>449</v>
      </c>
      <c r="B60" s="692"/>
      <c r="C60" s="469">
        <v>5</v>
      </c>
      <c r="D60" s="470"/>
      <c r="E60" s="469">
        <v>5</v>
      </c>
      <c r="F60" s="470"/>
      <c r="G60" s="175">
        <v>5</v>
      </c>
      <c r="H60" s="190" t="s">
        <v>53</v>
      </c>
      <c r="I60" s="190" t="s">
        <v>53</v>
      </c>
      <c r="J60" s="190" t="s">
        <v>53</v>
      </c>
      <c r="K60" s="190" t="s">
        <v>53</v>
      </c>
      <c r="L60" s="190" t="s">
        <v>53</v>
      </c>
      <c r="M60" s="190" t="s">
        <v>53</v>
      </c>
      <c r="N60" s="36"/>
      <c r="O60" s="542" t="s">
        <v>248</v>
      </c>
      <c r="P60" s="542"/>
      <c r="Q60" s="101"/>
      <c r="R60" s="185"/>
      <c r="S60" s="185"/>
      <c r="T60" s="184"/>
      <c r="U60" s="186"/>
      <c r="V60" s="184"/>
      <c r="W60" s="186"/>
      <c r="X60" s="184"/>
      <c r="Y60" s="186"/>
      <c r="Z60" s="36"/>
      <c r="AA60" s="36"/>
      <c r="AM60" s="36"/>
      <c r="AN60" s="36"/>
      <c r="AO60" s="36"/>
      <c r="AP60" s="36"/>
      <c r="AQ60" s="36"/>
    </row>
    <row r="61" spans="1:43" ht="18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542" t="s">
        <v>247</v>
      </c>
      <c r="P61" s="542"/>
      <c r="Q61" s="190" t="str">
        <f>IF(AND(SUM(Skills!$G$11+Skills!$H$11)&gt;=9,$Q$39="Yes"),"Yes","No")</f>
        <v>No</v>
      </c>
      <c r="R61" s="198" t="str">
        <f>IF(AND(SUM(Skills!$G$11+Skills!$H$11)&gt;=11,$Q$39="Yes"),"Yes","No")</f>
        <v>No</v>
      </c>
      <c r="S61" s="198" t="str">
        <f>IF(AND(SUM(Skills!$G$11+Skills!$H$11)&gt;=13,$Q$39="Yes"),"Yes","No")</f>
        <v>No</v>
      </c>
      <c r="T61" s="198" t="str">
        <f>IF(AND(SUM(Skills!$G$11+Skills!$H$11)&gt;=15,$Q$39="Yes"),"Yes","No")</f>
        <v>No</v>
      </c>
      <c r="U61" s="198" t="str">
        <f>IF(AND(SUM(Skills!$G$11+Skills!$H$11)&gt;=15,$Q$39="Yes"),"Yes","No")</f>
        <v>No</v>
      </c>
      <c r="V61" s="198" t="str">
        <f>IF(AND(SUM(Skills!$G$11+Skills!$H$11)&gt;=17,$Q$39="Yes"),"Yes","No")</f>
        <v>No</v>
      </c>
      <c r="W61" s="198" t="str">
        <f>IF(AND(SUM(Skills!$G$11+Skills!$H$11)&gt;=17,$Q$39="Yes"),"Yes","No")</f>
        <v>No</v>
      </c>
      <c r="X61" s="198" t="str">
        <f>IF(AND(SUM(Skills!$G$11+Skills!$H$11)&gt;=19,$Q$39="Yes"),"Yes","No")</f>
        <v>No</v>
      </c>
      <c r="Y61" s="198" t="str">
        <f>IF(AND(SUM(Skills!$G$11+Skills!$H$11)&gt;=19,$Q$39="Yes"),"Yes","No")</f>
        <v>No</v>
      </c>
      <c r="Z61" s="36"/>
      <c r="AA61" s="36"/>
      <c r="AM61" s="36"/>
      <c r="AN61" s="36"/>
      <c r="AO61" s="36"/>
      <c r="AP61" s="36"/>
      <c r="AQ61" s="36"/>
    </row>
    <row r="62" spans="1:43" ht="18" customHeight="1" x14ac:dyDescent="0.25">
      <c r="A62" s="695" t="s">
        <v>601</v>
      </c>
      <c r="B62" s="696"/>
      <c r="C62" s="710" t="s">
        <v>437</v>
      </c>
      <c r="D62" s="711"/>
      <c r="E62" s="710" t="s">
        <v>439</v>
      </c>
      <c r="F62" s="711"/>
      <c r="G62" s="701" t="s">
        <v>438</v>
      </c>
      <c r="H62" s="710" t="s">
        <v>440</v>
      </c>
      <c r="I62" s="711"/>
      <c r="J62" s="691" t="s">
        <v>441</v>
      </c>
      <c r="K62" s="692"/>
      <c r="L62" s="691" t="s">
        <v>442</v>
      </c>
      <c r="M62" s="692"/>
      <c r="N62" s="36"/>
      <c r="O62" s="691" t="s">
        <v>582</v>
      </c>
      <c r="P62" s="692"/>
      <c r="Q62" s="190">
        <v>6</v>
      </c>
      <c r="R62" s="190">
        <v>6</v>
      </c>
      <c r="S62" s="190">
        <v>6</v>
      </c>
      <c r="T62" s="190" t="s">
        <v>53</v>
      </c>
      <c r="U62" s="190" t="s">
        <v>53</v>
      </c>
      <c r="V62" s="190" t="s">
        <v>53</v>
      </c>
      <c r="W62" s="190" t="s">
        <v>53</v>
      </c>
      <c r="X62" s="155" t="s">
        <v>450</v>
      </c>
      <c r="Y62" s="155" t="s">
        <v>450</v>
      </c>
      <c r="Z62" s="36"/>
      <c r="AA62" s="36"/>
      <c r="AM62" s="36"/>
      <c r="AN62" s="36"/>
      <c r="AO62" s="36"/>
      <c r="AP62" s="36"/>
      <c r="AQ62" s="36"/>
    </row>
    <row r="63" spans="1:43" ht="18" customHeight="1" x14ac:dyDescent="0.25">
      <c r="A63" s="697"/>
      <c r="B63" s="698"/>
      <c r="C63" s="712"/>
      <c r="D63" s="713"/>
      <c r="E63" s="712"/>
      <c r="F63" s="713"/>
      <c r="G63" s="703"/>
      <c r="H63" s="712"/>
      <c r="I63" s="713"/>
      <c r="J63" s="154" t="s">
        <v>604</v>
      </c>
      <c r="K63" s="152" t="s">
        <v>605</v>
      </c>
      <c r="L63" s="154" t="s">
        <v>606</v>
      </c>
      <c r="M63" s="152" t="s">
        <v>607</v>
      </c>
      <c r="N63" s="36"/>
      <c r="O63" s="691" t="s">
        <v>474</v>
      </c>
      <c r="P63" s="692"/>
      <c r="Q63" s="187">
        <f>10+ROUNDDOWN((Skills!$G$11+Skills!$H$11)/2,0)+General!$N$16</f>
        <v>5</v>
      </c>
      <c r="R63" s="187">
        <f>10+ROUNDDOWN((Skills!$G$11+Skills!$H$11)/2,0)+General!$N$16</f>
        <v>5</v>
      </c>
      <c r="S63" s="187">
        <f>10+ROUNDDOWN((Skills!$G$11+Skills!$H$11)/2,0)+General!$N$16</f>
        <v>5</v>
      </c>
      <c r="T63" s="187">
        <f>10+ROUNDDOWN((Skills!$G$11+Skills!$H$11)/2,0)+General!$N$16</f>
        <v>5</v>
      </c>
      <c r="U63" s="187">
        <f>10+ROUNDDOWN((Skills!$G$11+Skills!$H$11)/2,0)+General!$N$16</f>
        <v>5</v>
      </c>
      <c r="V63" s="187">
        <f>10+ROUNDDOWN((Skills!$G$11+Skills!$H$11)/2,0)+General!$N$16</f>
        <v>5</v>
      </c>
      <c r="W63" s="187">
        <f>10+ROUNDDOWN((Skills!$G$11+Skills!$H$11)/2,0)+General!$N$16</f>
        <v>5</v>
      </c>
      <c r="X63" s="187">
        <f>10+ROUNDDOWN((Skills!$G$11+Skills!$H$11)/2,0)+General!$N$16</f>
        <v>5</v>
      </c>
      <c r="Y63" s="190">
        <f>10+ROUNDDOWN((Skills!$G$11+Skills!$H$11)/2,0)+General!$N$16</f>
        <v>5</v>
      </c>
      <c r="Z63" s="36"/>
      <c r="AA63" s="36"/>
      <c r="AM63" s="36"/>
      <c r="AN63" s="36"/>
      <c r="AO63" s="36"/>
      <c r="AP63" s="36"/>
      <c r="AQ63" s="36"/>
    </row>
    <row r="64" spans="1:43" ht="18" customHeight="1" x14ac:dyDescent="0.25">
      <c r="A64" s="542" t="s">
        <v>248</v>
      </c>
      <c r="B64" s="542"/>
      <c r="C64" s="708"/>
      <c r="D64" s="709"/>
      <c r="E64" s="708"/>
      <c r="F64" s="709"/>
      <c r="G64" s="179"/>
      <c r="H64" s="708"/>
      <c r="I64" s="709"/>
      <c r="J64" s="178"/>
      <c r="K64" s="180"/>
      <c r="L64" s="178"/>
      <c r="M64" s="180"/>
      <c r="N64" s="36"/>
      <c r="O64" s="691" t="s">
        <v>583</v>
      </c>
      <c r="P64" s="692"/>
      <c r="Q64" s="187">
        <v>30</v>
      </c>
      <c r="R64" s="187">
        <v>40</v>
      </c>
      <c r="S64" s="187">
        <v>40</v>
      </c>
      <c r="T64" s="190" t="s">
        <v>53</v>
      </c>
      <c r="U64" s="155" t="s">
        <v>547</v>
      </c>
      <c r="V64" s="190" t="s">
        <v>53</v>
      </c>
      <c r="W64" s="155" t="s">
        <v>662</v>
      </c>
      <c r="X64" s="190" t="s">
        <v>53</v>
      </c>
      <c r="Y64" s="190" t="s">
        <v>53</v>
      </c>
      <c r="Z64" s="36"/>
      <c r="AA64" s="36"/>
      <c r="AM64" s="36"/>
      <c r="AN64" s="36"/>
      <c r="AO64" s="36"/>
      <c r="AP64" s="36"/>
      <c r="AQ64" s="36"/>
    </row>
    <row r="65" spans="1:43" ht="18" customHeight="1" x14ac:dyDescent="0.25">
      <c r="A65" s="542" t="s">
        <v>247</v>
      </c>
      <c r="B65" s="542"/>
      <c r="C65" s="469" t="str">
        <f>IF(AND(SUM(Skills!$G$11+Skills!$H$11)&gt;=6,SUM(Skills!$G$36+Skills!$H$36)&gt;=2,Q39="Yes"),"Yes","No")</f>
        <v>No</v>
      </c>
      <c r="D65" s="470"/>
      <c r="E65" s="469" t="str">
        <f>IF(AND(SUM(Skills!$G$11+Skills!$H$11)&gt;=8,SUM(Skills!$G$36+Skills!$H$36)&gt;=4,Q39="Yes"),"Yes","No")</f>
        <v>No</v>
      </c>
      <c r="F65" s="470"/>
      <c r="G65" s="181" t="str">
        <f>IF(AND(SUM(Skills!$G$11+Skills!$H$11)&gt;=10,SUM(Skills!$G$36+Skills!$H$36)&gt;=6,Q39="Yes"),"Yes","No")</f>
        <v>No</v>
      </c>
      <c r="H65" s="469" t="str">
        <f>IF(AND(SUM(Skills!$G$11+Skills!$H$11)&gt;=12,SUM(Skills!$G$36+Skills!$H$36)&gt;=8,Q39="Yes"),"Yes","No")</f>
        <v>No</v>
      </c>
      <c r="I65" s="470"/>
      <c r="J65" s="181" t="str">
        <f>IF(AND(SUM(Skills!$G$11+Skills!$H$11)&gt;=14,SUM(Skills!$G$36+Skills!$H$36)&gt;=10,Q39="Yes"),"Yes","No")</f>
        <v>No</v>
      </c>
      <c r="K65" s="181" t="str">
        <f>IF(AND(SUM(Skills!$G$11+Skills!$H$11)&gt;=14,SUM(Skills!$G$36+Skills!$H$36)&gt;=10,Q39="Yes"),"Yes","No")</f>
        <v>No</v>
      </c>
      <c r="L65" s="181" t="str">
        <f>IF(AND(SUM(Skills!$G$11+Skills!$H$11)&gt;=16,SUM(Skills!$G$36+Skills!$H$36)&gt;=12,Q39="Yes"),"Yes","No")</f>
        <v>No</v>
      </c>
      <c r="M65" s="182" t="str">
        <f>IF(AND(SUM(Skills!$G$11+Skills!$H$11)&gt;=16,SUM(Skills!$G$36+Skills!$H$36)&gt;=12,Q39="Yes"),"Yes","No")</f>
        <v>No</v>
      </c>
      <c r="N65" s="36"/>
      <c r="O65" s="691" t="s">
        <v>467</v>
      </c>
      <c r="P65" s="692"/>
      <c r="Q65" s="187" t="s">
        <v>654</v>
      </c>
      <c r="R65" s="187" t="s">
        <v>654</v>
      </c>
      <c r="S65" s="187" t="s">
        <v>655</v>
      </c>
      <c r="T65" s="188" t="s">
        <v>661</v>
      </c>
      <c r="U65" s="190" t="s">
        <v>53</v>
      </c>
      <c r="V65" s="190" t="s">
        <v>53</v>
      </c>
      <c r="W65" s="190" t="s">
        <v>53</v>
      </c>
      <c r="X65" s="190" t="s">
        <v>53</v>
      </c>
      <c r="Y65" s="190" t="s">
        <v>53</v>
      </c>
      <c r="Z65" s="36"/>
      <c r="AA65" s="36"/>
      <c r="AM65" s="36"/>
      <c r="AN65" s="36"/>
      <c r="AO65" s="36"/>
      <c r="AP65" s="36"/>
      <c r="AQ65" s="36"/>
    </row>
    <row r="66" spans="1:43" ht="18" customHeight="1" x14ac:dyDescent="0.25">
      <c r="A66" s="691" t="s">
        <v>582</v>
      </c>
      <c r="B66" s="692"/>
      <c r="C66" s="469">
        <v>1</v>
      </c>
      <c r="D66" s="470"/>
      <c r="E66" s="469">
        <v>1</v>
      </c>
      <c r="F66" s="470"/>
      <c r="G66" s="182">
        <v>1</v>
      </c>
      <c r="H66" s="469">
        <v>1</v>
      </c>
      <c r="I66" s="470"/>
      <c r="J66" s="182" t="s">
        <v>53</v>
      </c>
      <c r="K66" s="182" t="s">
        <v>53</v>
      </c>
      <c r="L66" s="155" t="s">
        <v>450</v>
      </c>
      <c r="M66" s="155" t="s">
        <v>450</v>
      </c>
      <c r="N66" s="36"/>
      <c r="O66" s="691" t="s">
        <v>584</v>
      </c>
      <c r="P66" s="692"/>
      <c r="Q66" s="190">
        <v>5</v>
      </c>
      <c r="R66" s="187">
        <v>5</v>
      </c>
      <c r="S66" s="187">
        <v>10</v>
      </c>
      <c r="T66" s="155" t="s">
        <v>482</v>
      </c>
      <c r="U66" s="190" t="s">
        <v>53</v>
      </c>
      <c r="V66" s="190" t="s">
        <v>53</v>
      </c>
      <c r="W66" s="190" t="s">
        <v>53</v>
      </c>
      <c r="X66" s="190" t="s">
        <v>53</v>
      </c>
      <c r="Y66" s="190" t="s">
        <v>53</v>
      </c>
      <c r="Z66" s="36"/>
      <c r="AA66" s="36"/>
      <c r="AM66" s="36"/>
      <c r="AN66" s="36"/>
      <c r="AO66" s="36"/>
      <c r="AP66" s="36"/>
      <c r="AQ66" s="36"/>
    </row>
    <row r="67" spans="1:43" ht="18" customHeight="1" x14ac:dyDescent="0.25">
      <c r="A67" s="691" t="s">
        <v>602</v>
      </c>
      <c r="B67" s="692"/>
      <c r="C67" s="469">
        <f>50*General!$N$14</f>
        <v>-250</v>
      </c>
      <c r="D67" s="470"/>
      <c r="E67" s="469">
        <f>100*General!$N$14</f>
        <v>-500</v>
      </c>
      <c r="F67" s="470"/>
      <c r="G67" s="181">
        <f>150*General!$N$14</f>
        <v>-750</v>
      </c>
      <c r="H67" s="469">
        <f>200*General!$N$14</f>
        <v>-1000</v>
      </c>
      <c r="I67" s="470"/>
      <c r="J67" s="182" t="s">
        <v>53</v>
      </c>
      <c r="K67" s="182">
        <f>250*General!$N$14</f>
        <v>-1250</v>
      </c>
      <c r="L67" s="182" t="s">
        <v>53</v>
      </c>
      <c r="M67" s="182" t="s">
        <v>53</v>
      </c>
      <c r="N67" s="36"/>
      <c r="O67" s="691" t="s">
        <v>449</v>
      </c>
      <c r="P67" s="692"/>
      <c r="Q67" s="190">
        <v>4</v>
      </c>
      <c r="R67" s="187">
        <v>3</v>
      </c>
      <c r="S67" s="187">
        <v>3</v>
      </c>
      <c r="T67" s="190" t="s">
        <v>53</v>
      </c>
      <c r="U67" s="190" t="s">
        <v>53</v>
      </c>
      <c r="V67" s="190" t="s">
        <v>53</v>
      </c>
      <c r="W67" s="190" t="s">
        <v>53</v>
      </c>
      <c r="X67" s="155" t="s">
        <v>459</v>
      </c>
      <c r="Y67" s="190" t="s">
        <v>53</v>
      </c>
      <c r="Z67" s="36"/>
      <c r="AA67" s="36"/>
      <c r="AM67" s="36"/>
      <c r="AN67" s="36"/>
      <c r="AO67" s="36"/>
      <c r="AP67" s="36"/>
      <c r="AQ67" s="36"/>
    </row>
    <row r="68" spans="1:43" ht="18" customHeight="1" x14ac:dyDescent="0.25">
      <c r="A68" s="691" t="s">
        <v>449</v>
      </c>
      <c r="B68" s="692"/>
      <c r="C68" s="469">
        <v>3</v>
      </c>
      <c r="D68" s="470"/>
      <c r="E68" s="469">
        <v>3</v>
      </c>
      <c r="F68" s="470"/>
      <c r="G68" s="181">
        <v>3</v>
      </c>
      <c r="H68" s="469" t="s">
        <v>53</v>
      </c>
      <c r="I68" s="470"/>
      <c r="J68" s="190" t="s">
        <v>53</v>
      </c>
      <c r="K68" s="190" t="s">
        <v>53</v>
      </c>
      <c r="L68" s="190" t="s">
        <v>53</v>
      </c>
      <c r="M68" s="190" t="s">
        <v>53</v>
      </c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M68" s="36"/>
      <c r="AN68" s="36"/>
      <c r="AO68" s="36"/>
      <c r="AP68" s="36"/>
      <c r="AQ68" s="36"/>
    </row>
    <row r="69" spans="1:43" ht="18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695" t="s">
        <v>764</v>
      </c>
      <c r="P69" s="696"/>
      <c r="Q69" s="701" t="s">
        <v>437</v>
      </c>
      <c r="R69" s="701" t="s">
        <v>439</v>
      </c>
      <c r="S69" s="701" t="s">
        <v>438</v>
      </c>
      <c r="T69" s="691" t="s">
        <v>440</v>
      </c>
      <c r="U69" s="692"/>
      <c r="V69" s="691" t="s">
        <v>441</v>
      </c>
      <c r="W69" s="692"/>
      <c r="X69" s="691" t="s">
        <v>442</v>
      </c>
      <c r="Y69" s="692"/>
      <c r="Z69" s="36"/>
      <c r="AA69" s="36"/>
      <c r="AM69" s="36"/>
      <c r="AN69" s="36"/>
      <c r="AO69" s="36"/>
      <c r="AP69" s="36"/>
      <c r="AQ69" s="36"/>
    </row>
    <row r="70" spans="1:43" x14ac:dyDescent="0.25">
      <c r="A70" s="695" t="s">
        <v>617</v>
      </c>
      <c r="B70" s="696"/>
      <c r="C70" s="710" t="s">
        <v>437</v>
      </c>
      <c r="D70" s="711"/>
      <c r="E70" s="710" t="s">
        <v>439</v>
      </c>
      <c r="F70" s="711"/>
      <c r="G70" s="701" t="s">
        <v>438</v>
      </c>
      <c r="H70" s="691" t="s">
        <v>440</v>
      </c>
      <c r="I70" s="692"/>
      <c r="J70" s="691" t="s">
        <v>441</v>
      </c>
      <c r="K70" s="692"/>
      <c r="L70" s="691" t="s">
        <v>442</v>
      </c>
      <c r="M70" s="692"/>
      <c r="N70" s="36"/>
      <c r="O70" s="697"/>
      <c r="P70" s="698"/>
      <c r="Q70" s="703"/>
      <c r="R70" s="703"/>
      <c r="S70" s="703"/>
      <c r="T70" s="154" t="s">
        <v>446</v>
      </c>
      <c r="U70" s="152" t="s">
        <v>466</v>
      </c>
      <c r="V70" s="154" t="s">
        <v>647</v>
      </c>
      <c r="W70" s="152" t="s">
        <v>665</v>
      </c>
      <c r="X70" s="154" t="s">
        <v>766</v>
      </c>
      <c r="Y70" s="152" t="s">
        <v>767</v>
      </c>
      <c r="Z70" s="36"/>
      <c r="AA70" s="36"/>
      <c r="AM70" s="36"/>
      <c r="AN70" s="36"/>
      <c r="AO70" s="36"/>
      <c r="AP70" s="36"/>
      <c r="AQ70" s="36"/>
    </row>
    <row r="71" spans="1:43" ht="18" customHeight="1" x14ac:dyDescent="0.25">
      <c r="A71" s="697"/>
      <c r="B71" s="698"/>
      <c r="C71" s="712"/>
      <c r="D71" s="713"/>
      <c r="E71" s="712"/>
      <c r="F71" s="713"/>
      <c r="G71" s="703"/>
      <c r="H71" s="154" t="s">
        <v>609</v>
      </c>
      <c r="I71" s="152" t="s">
        <v>610</v>
      </c>
      <c r="J71" s="154" t="s">
        <v>611</v>
      </c>
      <c r="K71" s="152" t="s">
        <v>612</v>
      </c>
      <c r="L71" s="154" t="s">
        <v>537</v>
      </c>
      <c r="M71" s="152" t="s">
        <v>613</v>
      </c>
      <c r="N71" s="36"/>
      <c r="O71" s="542" t="s">
        <v>248</v>
      </c>
      <c r="P71" s="542"/>
      <c r="Q71" s="101"/>
      <c r="R71" s="212"/>
      <c r="S71" s="212"/>
      <c r="T71" s="211"/>
      <c r="U71" s="213"/>
      <c r="V71" s="211"/>
      <c r="W71" s="213"/>
      <c r="X71" s="211"/>
      <c r="Y71" s="213"/>
      <c r="Z71" s="36"/>
      <c r="AA71" s="36"/>
      <c r="AM71" s="36"/>
      <c r="AN71" s="36"/>
      <c r="AO71" s="36"/>
      <c r="AP71" s="36"/>
      <c r="AQ71" s="36"/>
    </row>
    <row r="72" spans="1:43" ht="30" customHeight="1" x14ac:dyDescent="0.25">
      <c r="A72" s="542" t="s">
        <v>248</v>
      </c>
      <c r="B72" s="542"/>
      <c r="C72" s="708"/>
      <c r="D72" s="709"/>
      <c r="E72" s="708"/>
      <c r="F72" s="709"/>
      <c r="G72" s="185"/>
      <c r="H72" s="184"/>
      <c r="I72" s="186"/>
      <c r="J72" s="184"/>
      <c r="K72" s="186"/>
      <c r="L72" s="184"/>
      <c r="M72" s="186"/>
      <c r="N72" s="36"/>
      <c r="O72" s="542" t="s">
        <v>247</v>
      </c>
      <c r="P72" s="542"/>
      <c r="Q72" s="198" t="str">
        <f>IF(AND(SUM(Skills!$G$11+Skills!$H$11)&gt;=7,SUM(Skills!$G$36+Skills!$H$36)&gt;=4,$Q$39="Yes",OR(General!$Y$7="Adept",General!$Y$7="Asari Pure Biotic")),"Yes","No")</f>
        <v>No</v>
      </c>
      <c r="R72" s="198" t="str">
        <f>IF(AND(SUM(Skills!$G$11+Skills!$H$11)&gt;=9,SUM(Skills!$G$36+Skills!$H$36)&gt;=6,$Q$39="Yes",OR(General!$Y$7="Adept",General!$Y$7="Asari Pure Biotic")),"Yes","No")</f>
        <v>No</v>
      </c>
      <c r="S72" s="198" t="str">
        <f>IF(AND(SUM(Skills!$G$11+Skills!$H$11)&gt;=11,SUM(Skills!$G$36+Skills!$H$36)&gt;=8,$Q$39="Yes",OR(General!$Y$7="Adept",General!$Y$7="Asari Pure Biotic")),"Yes","No")</f>
        <v>No</v>
      </c>
      <c r="T72" s="198" t="str">
        <f>IF(AND(SUM(Skills!$G$11+Skills!$H$11)&gt;=13,SUM(Skills!$G$36+Skills!$H$36)&gt;=10,$Q$39="Yes",OR(General!$Y$7="Adept",General!$Y$7="Asari Pure Biotic")),"Yes","No")</f>
        <v>No</v>
      </c>
      <c r="U72" s="198" t="str">
        <f>IF(AND(SUM(Skills!$G$11+Skills!$H$11)&gt;=13,SUM(Skills!$G$36+Skills!$H$36)&gt;=10,$Q$39="Yes",OR(General!$Y$7="Adept",General!$Y$7="Asari Pure Biotic")),"Yes","No")</f>
        <v>No</v>
      </c>
      <c r="V72" s="198" t="str">
        <f>IF(AND(SUM(Skills!$G$11+Skills!$H$11)&gt;=15,SUM(Skills!$G$36+Skills!$H$36)&gt;=12,$Q$39="Yes",OR(General!$Y$7="Adept",General!$Y$7="Asari Pure Biotic")),"Yes","No")</f>
        <v>No</v>
      </c>
      <c r="W72" s="198" t="str">
        <f>IF(AND(SUM(Skills!$G$11+Skills!$H$11)&gt;=15,SUM(Skills!$G$36+Skills!$H$36)&gt;=12,$Q$39="Yes",OR(General!$Y$7="Adept",General!$Y$7="Asari Pure Biotic")),"Yes","No")</f>
        <v>No</v>
      </c>
      <c r="X72" s="198" t="str">
        <f>IF(AND(SUM(Skills!$G$11+Skills!$H$11)&gt;=17,SUM(Skills!$G$36+Skills!$H$36)&gt;=14,$Q$39="Yes",OR(General!$Y$7="Adept",General!$Y$7="Asari Pure Biotic")),"Yes","No")</f>
        <v>No</v>
      </c>
      <c r="Y72" s="198" t="str">
        <f>IF(AND(SUM(Skills!$G$11+Skills!$H$11)&gt;=17,SUM(Skills!$G$36+Skills!$H$36)&gt;=14,$Q$39="Yes",OR(General!$Y$7="Adept",General!$Y$7="Asari Pure Biotic")),"Yes","No")</f>
        <v>No</v>
      </c>
      <c r="Z72" s="36"/>
      <c r="AA72" s="36"/>
      <c r="AM72" s="36"/>
      <c r="AN72" s="36"/>
      <c r="AO72" s="36"/>
      <c r="AP72" s="36"/>
      <c r="AQ72" s="36"/>
    </row>
    <row r="73" spans="1:43" ht="18" customHeight="1" x14ac:dyDescent="0.25">
      <c r="A73" s="542" t="s">
        <v>247</v>
      </c>
      <c r="B73" s="542"/>
      <c r="C73" s="469" t="str">
        <f>IF(AND(SUM(Skills!$G$11+Skills!$H$11)&gt;=5,Q113="Yes"),"Yes","No")</f>
        <v>No</v>
      </c>
      <c r="D73" s="470"/>
      <c r="E73" s="469" t="str">
        <f>IF(AND(SUM(Skills!$G$11+Skills!$H$11)&gt;=7,Q113="Yes"),"Yes","No")</f>
        <v>No</v>
      </c>
      <c r="F73" s="470"/>
      <c r="G73" s="187" t="str">
        <f>IF(AND(SUM(Skills!$G$11+Skills!$H$11)&gt;=9,Q113="Yes"),"Yes","No")</f>
        <v>No</v>
      </c>
      <c r="H73" s="187" t="str">
        <f>IF(AND(SUM(Skills!$G$11+Skills!$H$11)&gt;=11,$Q$113="Yes"),"Yes","No")</f>
        <v>No</v>
      </c>
      <c r="I73" s="215" t="str">
        <f>IF(AND(SUM(Skills!$G$11+Skills!$H$11)&gt;=11,$Q$113="Yes"),"Yes","No")</f>
        <v>No</v>
      </c>
      <c r="J73" s="215" t="str">
        <f>IF(AND(SUM(Skills!$G$11+Skills!$H$11)&gt;=13,$Q$113="Yes"),"Yes","No")</f>
        <v>No</v>
      </c>
      <c r="K73" s="215" t="str">
        <f>IF(AND(SUM(Skills!$G$11+Skills!$H$11)&gt;=13,$Q$113="Yes"),"Yes","No")</f>
        <v>No</v>
      </c>
      <c r="L73" s="215" t="str">
        <f>IF(AND(SUM(Skills!$G$11+Skills!$H$11)&gt;=15,$Q$113="Yes"),"Yes","No")</f>
        <v>No</v>
      </c>
      <c r="M73" s="198" t="str">
        <f>IF(AND(SUM(Skills!$G$11+Skills!$H$11)&gt;=15,$Q$113="Yes"),"Yes","No")</f>
        <v>No</v>
      </c>
      <c r="N73" s="36"/>
      <c r="O73" s="691" t="s">
        <v>582</v>
      </c>
      <c r="P73" s="692"/>
      <c r="Q73" s="198">
        <v>4</v>
      </c>
      <c r="R73" s="198">
        <v>4</v>
      </c>
      <c r="S73" s="198">
        <v>4</v>
      </c>
      <c r="T73" s="155" t="s">
        <v>450</v>
      </c>
      <c r="U73" s="155" t="s">
        <v>450</v>
      </c>
      <c r="V73" s="155" t="s">
        <v>450</v>
      </c>
      <c r="W73" s="155" t="s">
        <v>450</v>
      </c>
      <c r="X73" s="155" t="s">
        <v>450</v>
      </c>
      <c r="Y73" s="155" t="s">
        <v>450</v>
      </c>
      <c r="Z73" s="36"/>
      <c r="AA73" s="36"/>
      <c r="AM73" s="36"/>
      <c r="AN73" s="36"/>
      <c r="AO73" s="36"/>
      <c r="AP73" s="36"/>
      <c r="AQ73" s="36"/>
    </row>
    <row r="74" spans="1:43" ht="18" customHeight="1" x14ac:dyDescent="0.25">
      <c r="A74" s="691" t="s">
        <v>582</v>
      </c>
      <c r="B74" s="692"/>
      <c r="C74" s="469">
        <v>4</v>
      </c>
      <c r="D74" s="470"/>
      <c r="E74" s="469">
        <v>4</v>
      </c>
      <c r="F74" s="470"/>
      <c r="G74" s="190">
        <v>5</v>
      </c>
      <c r="H74" s="155" t="s">
        <v>450</v>
      </c>
      <c r="I74" s="155" t="s">
        <v>450</v>
      </c>
      <c r="J74" s="190" t="s">
        <v>53</v>
      </c>
      <c r="K74" s="190" t="s">
        <v>53</v>
      </c>
      <c r="L74" s="155" t="s">
        <v>517</v>
      </c>
      <c r="M74" s="155" t="s">
        <v>517</v>
      </c>
      <c r="N74" s="36"/>
      <c r="O74" s="691" t="s">
        <v>765</v>
      </c>
      <c r="P74" s="692"/>
      <c r="Q74" s="215">
        <f>10+ROUNDDOWN((Skills!$G$11+Skills!$H$11)/2,0)+General!$N$14</f>
        <v>5</v>
      </c>
      <c r="R74" s="215">
        <f>10+ROUNDDOWN((Skills!$G$11+Skills!$H$11)/2,0)+General!$N$14</f>
        <v>5</v>
      </c>
      <c r="S74" s="215">
        <f>10+ROUNDDOWN((Skills!$G$11+Skills!$H$11)/2,0)+General!$N$14</f>
        <v>5</v>
      </c>
      <c r="T74" s="215">
        <f>10+ROUNDDOWN((Skills!$G$11+Skills!$H$11)/2,0)+General!$N$14</f>
        <v>5</v>
      </c>
      <c r="U74" s="215">
        <f>10+ROUNDDOWN((Skills!$G$11+Skills!$H$11)/2,0)+General!$N$14</f>
        <v>5</v>
      </c>
      <c r="V74" s="215">
        <f>10+ROUNDDOWN((Skills!$G$11+Skills!$H$11)/2,0)+General!$N$14</f>
        <v>5</v>
      </c>
      <c r="W74" s="215">
        <f>10+ROUNDDOWN((Skills!$G$11+Skills!$H$11)/2,0)+General!$N$14</f>
        <v>5</v>
      </c>
      <c r="X74" s="215">
        <f>10+ROUNDDOWN((Skills!$G$11+Skills!$H$11)/2,0)+General!$N$14</f>
        <v>5</v>
      </c>
      <c r="Y74" s="198">
        <f>10+ROUNDDOWN((Skills!$G$11+Skills!$H$11)/2,0)+General!$N$14</f>
        <v>5</v>
      </c>
      <c r="Z74" s="36"/>
      <c r="AA74" s="36"/>
      <c r="AM74" s="36"/>
      <c r="AN74" s="36"/>
      <c r="AO74" s="36"/>
      <c r="AP74" s="36"/>
      <c r="AQ74" s="36"/>
    </row>
    <row r="75" spans="1:43" ht="18" customHeight="1" x14ac:dyDescent="0.25">
      <c r="A75" s="691" t="s">
        <v>474</v>
      </c>
      <c r="B75" s="692"/>
      <c r="C75" s="469">
        <f>10+ROUNDDOWN((Skills!$G$11+Skills!$H$11)/2,0)+General!$N$16</f>
        <v>5</v>
      </c>
      <c r="D75" s="470"/>
      <c r="E75" s="469">
        <f>10+ROUNDDOWN((Skills!$G$11+Skills!$H$11)/2,0)+General!$N$16</f>
        <v>5</v>
      </c>
      <c r="F75" s="470"/>
      <c r="G75" s="187">
        <f>10+ROUNDDOWN((Skills!$G$11+Skills!$H$11)/2,0)+General!$N$16</f>
        <v>5</v>
      </c>
      <c r="H75" s="187">
        <f>10+ROUNDDOWN((Skills!$G$11+Skills!$H$11)/2,0)+General!$N$16</f>
        <v>5</v>
      </c>
      <c r="I75" s="187">
        <f>10+ROUNDDOWN((Skills!$G$11+Skills!$H$11)/2,0)+General!$N$16</f>
        <v>5</v>
      </c>
      <c r="J75" s="187">
        <f>10+ROUNDDOWN((Skills!$G$11+Skills!$H$11)/2,0)+General!$N$16</f>
        <v>5</v>
      </c>
      <c r="K75" s="187">
        <f>10+ROUNDDOWN((Skills!$G$11+Skills!$H$11)/2,0)+General!$N$16</f>
        <v>5</v>
      </c>
      <c r="L75" s="187">
        <f>10+ROUNDDOWN((Skills!$G$11+Skills!$H$11)/2,0)+General!$N$16</f>
        <v>5</v>
      </c>
      <c r="M75" s="190">
        <f>10+ROUNDDOWN((Skills!$G$11+Skills!$H$11)/2,0)+General!$N$16</f>
        <v>5</v>
      </c>
      <c r="N75" s="36"/>
      <c r="O75" s="691" t="s">
        <v>471</v>
      </c>
      <c r="P75" s="692"/>
      <c r="Q75" s="215">
        <v>5</v>
      </c>
      <c r="R75" s="215">
        <v>5</v>
      </c>
      <c r="S75" s="215">
        <v>10</v>
      </c>
      <c r="T75" s="198" t="s">
        <v>53</v>
      </c>
      <c r="U75" s="155" t="s">
        <v>482</v>
      </c>
      <c r="V75" s="198" t="s">
        <v>53</v>
      </c>
      <c r="W75" s="198" t="s">
        <v>53</v>
      </c>
      <c r="X75" s="155" t="s">
        <v>482</v>
      </c>
      <c r="Y75" s="198" t="s">
        <v>53</v>
      </c>
      <c r="Z75" s="36"/>
      <c r="AA75" s="36"/>
      <c r="AM75" s="36"/>
      <c r="AN75" s="36"/>
      <c r="AO75" s="36"/>
      <c r="AP75" s="36"/>
      <c r="AQ75" s="36"/>
    </row>
    <row r="76" spans="1:43" ht="18" customHeight="1" x14ac:dyDescent="0.25">
      <c r="A76" s="691" t="s">
        <v>467</v>
      </c>
      <c r="B76" s="692"/>
      <c r="C76" s="536" t="str">
        <f>"3d6+"&amp;1*General!N14</f>
        <v>3d6+-5</v>
      </c>
      <c r="D76" s="538"/>
      <c r="E76" s="536" t="str">
        <f>"3d6+"&amp;1*General!N14</f>
        <v>3d6+-5</v>
      </c>
      <c r="F76" s="538"/>
      <c r="G76" s="189" t="str">
        <f>"4d6+"&amp;1*General!N14</f>
        <v>4d6+-5</v>
      </c>
      <c r="H76" s="189" t="str">
        <f>"5d6+"&amp;2*General!N14</f>
        <v>5d6+-10</v>
      </c>
      <c r="I76" s="190" t="s">
        <v>53</v>
      </c>
      <c r="J76" s="190" t="s">
        <v>53</v>
      </c>
      <c r="K76" s="190" t="s">
        <v>53</v>
      </c>
      <c r="L76" s="261" t="s">
        <v>1076</v>
      </c>
      <c r="M76" s="190" t="s">
        <v>53</v>
      </c>
      <c r="N76" s="36"/>
      <c r="O76" s="691" t="s">
        <v>249</v>
      </c>
      <c r="P76" s="692"/>
      <c r="Q76" s="217">
        <v>2</v>
      </c>
      <c r="R76" s="217">
        <v>2</v>
      </c>
      <c r="S76" s="217">
        <v>2</v>
      </c>
      <c r="T76" s="155" t="s">
        <v>450</v>
      </c>
      <c r="U76" s="198" t="s">
        <v>53</v>
      </c>
      <c r="V76" s="198" t="s">
        <v>53</v>
      </c>
      <c r="W76" s="198" t="s">
        <v>53</v>
      </c>
      <c r="X76" s="198" t="s">
        <v>53</v>
      </c>
      <c r="Y76" s="198" t="s">
        <v>53</v>
      </c>
      <c r="Z76" s="36"/>
      <c r="AA76" s="36"/>
      <c r="AM76" s="36"/>
      <c r="AN76" s="36"/>
      <c r="AO76" s="36"/>
      <c r="AP76" s="36"/>
      <c r="AQ76" s="36"/>
    </row>
    <row r="77" spans="1:43" ht="18" customHeight="1" x14ac:dyDescent="0.25">
      <c r="A77" s="542" t="s">
        <v>471</v>
      </c>
      <c r="B77" s="542"/>
      <c r="C77" s="536">
        <v>10</v>
      </c>
      <c r="D77" s="538"/>
      <c r="E77" s="536">
        <v>15</v>
      </c>
      <c r="F77" s="538"/>
      <c r="G77" s="189">
        <v>15</v>
      </c>
      <c r="H77" s="190" t="s">
        <v>53</v>
      </c>
      <c r="I77" s="183" t="s">
        <v>547</v>
      </c>
      <c r="J77" s="190" t="s">
        <v>53</v>
      </c>
      <c r="K77" s="190" t="s">
        <v>53</v>
      </c>
      <c r="L77" s="190" t="s">
        <v>53</v>
      </c>
      <c r="M77" s="190" t="s">
        <v>53</v>
      </c>
      <c r="N77" s="36"/>
      <c r="O77" s="691" t="s">
        <v>584</v>
      </c>
      <c r="P77" s="692"/>
      <c r="Q77" s="217">
        <v>5</v>
      </c>
      <c r="R77" s="217">
        <v>5</v>
      </c>
      <c r="S77" s="217">
        <v>5</v>
      </c>
      <c r="T77" s="198" t="s">
        <v>53</v>
      </c>
      <c r="U77" s="155" t="s">
        <v>482</v>
      </c>
      <c r="V77" s="284" t="s">
        <v>53</v>
      </c>
      <c r="W77" s="198" t="s">
        <v>53</v>
      </c>
      <c r="X77" s="155" t="s">
        <v>482</v>
      </c>
      <c r="Y77" s="198" t="s">
        <v>53</v>
      </c>
      <c r="Z77" s="36"/>
      <c r="AA77" s="36"/>
      <c r="AM77" s="36"/>
      <c r="AN77" s="36"/>
      <c r="AO77" s="36"/>
      <c r="AP77" s="36"/>
      <c r="AQ77" s="36"/>
    </row>
    <row r="78" spans="1:43" ht="18" customHeight="1" x14ac:dyDescent="0.25">
      <c r="A78" s="717" t="s">
        <v>608</v>
      </c>
      <c r="B78" s="718"/>
      <c r="C78" s="469" t="s">
        <v>614</v>
      </c>
      <c r="D78" s="706"/>
      <c r="E78" s="469" t="s">
        <v>614</v>
      </c>
      <c r="F78" s="706"/>
      <c r="G78" s="187" t="s">
        <v>615</v>
      </c>
      <c r="H78" s="187" t="s">
        <v>616</v>
      </c>
      <c r="I78" s="190" t="s">
        <v>53</v>
      </c>
      <c r="J78" s="190" t="s">
        <v>53</v>
      </c>
      <c r="K78" s="190" t="s">
        <v>53</v>
      </c>
      <c r="L78" s="190" t="s">
        <v>53</v>
      </c>
      <c r="M78" s="190" t="s">
        <v>53</v>
      </c>
      <c r="N78" s="36"/>
      <c r="O78" s="691" t="s">
        <v>449</v>
      </c>
      <c r="P78" s="692"/>
      <c r="Q78" s="198">
        <v>4</v>
      </c>
      <c r="R78" s="215">
        <v>3</v>
      </c>
      <c r="S78" s="215">
        <v>3</v>
      </c>
      <c r="T78" s="198" t="s">
        <v>53</v>
      </c>
      <c r="U78" s="198" t="s">
        <v>53</v>
      </c>
      <c r="V78" s="284" t="s">
        <v>53</v>
      </c>
      <c r="W78" s="285" t="s">
        <v>459</v>
      </c>
      <c r="X78" s="198" t="s">
        <v>53</v>
      </c>
      <c r="Y78" s="198" t="s">
        <v>53</v>
      </c>
      <c r="Z78" s="36"/>
      <c r="AA78" s="36"/>
      <c r="AM78" s="36"/>
      <c r="AN78" s="36"/>
      <c r="AO78" s="36"/>
      <c r="AP78" s="36"/>
      <c r="AQ78" s="36"/>
    </row>
    <row r="79" spans="1:43" ht="18" customHeight="1" x14ac:dyDescent="0.25">
      <c r="A79" s="691" t="s">
        <v>449</v>
      </c>
      <c r="B79" s="692"/>
      <c r="C79" s="469">
        <v>3</v>
      </c>
      <c r="D79" s="470"/>
      <c r="E79" s="469">
        <v>3</v>
      </c>
      <c r="F79" s="470"/>
      <c r="G79" s="187">
        <v>3</v>
      </c>
      <c r="H79" s="190" t="s">
        <v>53</v>
      </c>
      <c r="I79" s="190" t="s">
        <v>53</v>
      </c>
      <c r="J79" s="155" t="s">
        <v>459</v>
      </c>
      <c r="K79" s="190" t="s">
        <v>53</v>
      </c>
      <c r="L79" s="190" t="s">
        <v>53</v>
      </c>
      <c r="M79" s="190" t="s">
        <v>53</v>
      </c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M79" s="36"/>
      <c r="AN79" s="36"/>
      <c r="AO79" s="36"/>
      <c r="AP79" s="36"/>
      <c r="AQ79" s="36"/>
    </row>
    <row r="80" spans="1:43" ht="30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695" t="s">
        <v>663</v>
      </c>
      <c r="P80" s="696"/>
      <c r="Q80" s="701" t="s">
        <v>437</v>
      </c>
      <c r="R80" s="701" t="s">
        <v>439</v>
      </c>
      <c r="S80" s="701" t="s">
        <v>438</v>
      </c>
      <c r="T80" s="691" t="s">
        <v>440</v>
      </c>
      <c r="U80" s="692"/>
      <c r="V80" s="691" t="s">
        <v>441</v>
      </c>
      <c r="W80" s="692"/>
      <c r="X80" s="691" t="s">
        <v>442</v>
      </c>
      <c r="Y80" s="692"/>
      <c r="Z80" s="36"/>
      <c r="AA80" s="36"/>
      <c r="AM80" s="36"/>
      <c r="AN80" s="36"/>
      <c r="AO80" s="36"/>
      <c r="AP80" s="36"/>
      <c r="AQ80" s="36"/>
    </row>
    <row r="81" spans="1:43" ht="18" customHeight="1" x14ac:dyDescent="0.25">
      <c r="A81" s="695" t="s">
        <v>618</v>
      </c>
      <c r="B81" s="696"/>
      <c r="C81" s="710" t="s">
        <v>437</v>
      </c>
      <c r="D81" s="711"/>
      <c r="E81" s="710" t="s">
        <v>439</v>
      </c>
      <c r="F81" s="711"/>
      <c r="G81" s="701" t="s">
        <v>438</v>
      </c>
      <c r="H81" s="691" t="s">
        <v>440</v>
      </c>
      <c r="I81" s="692"/>
      <c r="J81" s="691" t="s">
        <v>441</v>
      </c>
      <c r="K81" s="692"/>
      <c r="L81" s="691" t="s">
        <v>442</v>
      </c>
      <c r="M81" s="692"/>
      <c r="N81" s="36"/>
      <c r="O81" s="697"/>
      <c r="P81" s="698"/>
      <c r="Q81" s="703"/>
      <c r="R81" s="703"/>
      <c r="S81" s="703"/>
      <c r="T81" s="154" t="s">
        <v>485</v>
      </c>
      <c r="U81" s="152" t="s">
        <v>466</v>
      </c>
      <c r="V81" s="154" t="s">
        <v>664</v>
      </c>
      <c r="W81" s="152" t="s">
        <v>665</v>
      </c>
      <c r="X81" s="154" t="s">
        <v>468</v>
      </c>
      <c r="Y81" s="152" t="s">
        <v>666</v>
      </c>
      <c r="Z81" s="36"/>
      <c r="AA81" s="36"/>
      <c r="AM81" s="36"/>
      <c r="AN81" s="36"/>
      <c r="AO81" s="36"/>
      <c r="AP81" s="36"/>
      <c r="AQ81" s="36"/>
    </row>
    <row r="82" spans="1:43" ht="17.25" customHeight="1" x14ac:dyDescent="0.25">
      <c r="A82" s="697"/>
      <c r="B82" s="698"/>
      <c r="C82" s="712"/>
      <c r="D82" s="713"/>
      <c r="E82" s="712"/>
      <c r="F82" s="713"/>
      <c r="G82" s="703"/>
      <c r="H82" s="154" t="s">
        <v>621</v>
      </c>
      <c r="I82" s="152" t="s">
        <v>622</v>
      </c>
      <c r="J82" s="154" t="s">
        <v>610</v>
      </c>
      <c r="K82" s="152" t="s">
        <v>623</v>
      </c>
      <c r="L82" s="154" t="s">
        <v>624</v>
      </c>
      <c r="M82" s="152" t="s">
        <v>625</v>
      </c>
      <c r="N82" s="36"/>
      <c r="O82" s="542" t="s">
        <v>248</v>
      </c>
      <c r="P82" s="542"/>
      <c r="Q82" s="101"/>
      <c r="R82" s="185"/>
      <c r="S82" s="185"/>
      <c r="T82" s="184"/>
      <c r="U82" s="186"/>
      <c r="V82" s="184"/>
      <c r="W82" s="186"/>
      <c r="X82" s="184"/>
      <c r="Y82" s="186"/>
      <c r="Z82" s="36"/>
      <c r="AA82" s="36"/>
      <c r="AM82" s="36"/>
      <c r="AN82" s="36"/>
      <c r="AO82" s="36"/>
      <c r="AP82" s="36"/>
      <c r="AQ82" s="36"/>
    </row>
    <row r="83" spans="1:43" ht="18" customHeight="1" x14ac:dyDescent="0.25">
      <c r="A83" s="542" t="s">
        <v>248</v>
      </c>
      <c r="B83" s="542"/>
      <c r="C83" s="708"/>
      <c r="D83" s="709"/>
      <c r="E83" s="708"/>
      <c r="F83" s="709"/>
      <c r="G83" s="185"/>
      <c r="H83" s="184"/>
      <c r="I83" s="186"/>
      <c r="J83" s="184"/>
      <c r="K83" s="186"/>
      <c r="L83" s="184"/>
      <c r="M83" s="186"/>
      <c r="N83" s="36"/>
      <c r="O83" s="542" t="s">
        <v>247</v>
      </c>
      <c r="P83" s="542"/>
      <c r="Q83" s="190" t="str">
        <f>IF(AND(SUM(Skills!$G$11+Skills!$H$11)&gt;=9,SUM(Skills!$G$36+Skills!$H$36)&gt;=5,Q39="Yes",Q113="Yes"),"Yes","No")</f>
        <v>No</v>
      </c>
      <c r="R83" s="190" t="str">
        <f>IF(AND(SUM(Skills!$G$11+Skills!$H$11)&gt;=11,SUM(Skills!$G$36+Skills!$H$36)&gt;=7,Q39="Yes",Q113="Yes"),"Yes","No")</f>
        <v>No</v>
      </c>
      <c r="S83" s="190" t="str">
        <f>IF(AND(SUM(Skills!$G$11+Skills!$H$11)&gt;=13,SUM(Skills!$G$36+Skills!$H$36)&gt;=9,Q39="Yes",Q113="Yes"),"Yes","No")</f>
        <v>No</v>
      </c>
      <c r="T83" s="190" t="str">
        <f>IF(AND(SUM(Skills!$G$11+Skills!$H$11)&gt;=15,SUM(Skills!$G$36+Skills!$H$36)&gt;=11,Q39="Yes",Q113="Yes"),"Yes","No")</f>
        <v>No</v>
      </c>
      <c r="U83" s="190" t="str">
        <f>IF(AND(SUM(Skills!$G$11+Skills!$H$11)&gt;=15,SUM(Skills!$G$36+Skills!$H$36)&gt;=11,Q39="Yes",Q113="Yes"),"Yes","No")</f>
        <v>No</v>
      </c>
      <c r="V83" s="190" t="str">
        <f>IF(AND(SUM(Skills!$G$11+Skills!$H$11)&gt;=17,SUM(Skills!$G$36+Skills!$H$36)&gt;=13,Q39="Yes",Q113="Yes"),"Yes","No")</f>
        <v>No</v>
      </c>
      <c r="W83" s="190" t="str">
        <f>IF(AND(SUM(Skills!$G$11+Skills!$H$11)&gt;=17,SUM(Skills!$G$36+Skills!$H$36)&gt;=13,Q39="Yes",Q113="Yes"),"Yes","No")</f>
        <v>No</v>
      </c>
      <c r="X83" s="190" t="str">
        <f>IF(AND(SUM(Skills!$G$11+Skills!$H$11)&gt;=19,SUM(Skills!$G$36+Skills!$H$36)&gt;=15,Q39="Yes",Q113="Yes"),"Yes","No")</f>
        <v>No</v>
      </c>
      <c r="Y83" s="190" t="str">
        <f>IF(AND(SUM(Skills!$G$11+Skills!$H$11)&gt;=19,SUM(Skills!$G$36+Skills!$H$36)&gt;=15,Q39="Yes",Q113="Yes"),"Yes","No")</f>
        <v>No</v>
      </c>
      <c r="Z83" s="36"/>
      <c r="AA83" s="36"/>
      <c r="AM83" s="36"/>
      <c r="AN83" s="36"/>
      <c r="AO83" s="36"/>
      <c r="AP83" s="36"/>
      <c r="AQ83" s="36"/>
    </row>
    <row r="84" spans="1:43" ht="18" customHeight="1" x14ac:dyDescent="0.25">
      <c r="A84" s="542" t="s">
        <v>247</v>
      </c>
      <c r="B84" s="542"/>
      <c r="C84" s="469" t="str">
        <f>IF(AND(SUM(Skills!$G$11+Skills!$H$11)&gt;=7,$C$28="Yes"),"Yes","No")</f>
        <v>No</v>
      </c>
      <c r="D84" s="470"/>
      <c r="E84" s="469" t="str">
        <f>IF(AND(SUM(Skills!$G$11+Skills!$H$11)&gt;=9,$C$28="Yes"),"Yes","No")</f>
        <v>No</v>
      </c>
      <c r="F84" s="470"/>
      <c r="G84" s="187" t="str">
        <f>IF(AND(SUM(Skills!$G$11+Skills!$H$11)&gt;=11,$C$28="Yes"),"Yes","No")</f>
        <v>No</v>
      </c>
      <c r="H84" s="215" t="str">
        <f>IF(AND(SUM(Skills!$G$11+Skills!$H$11)&gt;=13,$C$28="Yes"),"Yes","No")</f>
        <v>No</v>
      </c>
      <c r="I84" s="215" t="str">
        <f>IF(AND(SUM(Skills!$G$11+Skills!$H$11)&gt;=13,$C$28="Yes"),"Yes","No")</f>
        <v>No</v>
      </c>
      <c r="J84" s="215" t="str">
        <f>IF(AND(SUM(Skills!$G$11+Skills!$H$11)&gt;=15,$C$28="Yes"),"Yes","No")</f>
        <v>No</v>
      </c>
      <c r="K84" s="215" t="str">
        <f>IF(AND(SUM(Skills!$G$11+Skills!$H$11)&gt;=15,$C$28="Yes"),"Yes","No")</f>
        <v>No</v>
      </c>
      <c r="L84" s="215" t="str">
        <f>IF(AND(SUM(Skills!$G$11+Skills!$H$11)&gt;=17,$C$28="Yes"),"Yes","No")</f>
        <v>No</v>
      </c>
      <c r="M84" s="198" t="str">
        <f>IF(AND(SUM(Skills!$G$11+Skills!$H$11)&gt;=17,$C$28="Yes"),"Yes","No")</f>
        <v>No</v>
      </c>
      <c r="N84" s="36"/>
      <c r="O84" s="691" t="s">
        <v>582</v>
      </c>
      <c r="P84" s="692"/>
      <c r="Q84" s="190">
        <v>3</v>
      </c>
      <c r="R84" s="190">
        <v>3</v>
      </c>
      <c r="S84" s="190">
        <v>4</v>
      </c>
      <c r="T84" s="190" t="s">
        <v>53</v>
      </c>
      <c r="U84" s="190" t="s">
        <v>53</v>
      </c>
      <c r="V84" s="155" t="s">
        <v>450</v>
      </c>
      <c r="W84" s="155" t="s">
        <v>450</v>
      </c>
      <c r="X84" s="155" t="s">
        <v>450</v>
      </c>
      <c r="Y84" s="155" t="s">
        <v>517</v>
      </c>
      <c r="Z84" s="36"/>
      <c r="AA84" s="36"/>
      <c r="AM84" s="36"/>
      <c r="AN84" s="36"/>
      <c r="AO84" s="36"/>
      <c r="AP84" s="36"/>
      <c r="AQ84" s="36"/>
    </row>
    <row r="85" spans="1:43" ht="18" customHeight="1" x14ac:dyDescent="0.25">
      <c r="A85" s="691" t="s">
        <v>581</v>
      </c>
      <c r="B85" s="692"/>
      <c r="C85" s="469">
        <v>4</v>
      </c>
      <c r="D85" s="470"/>
      <c r="E85" s="469">
        <v>4</v>
      </c>
      <c r="F85" s="470"/>
      <c r="G85" s="190">
        <v>5</v>
      </c>
      <c r="H85" s="155" t="s">
        <v>450</v>
      </c>
      <c r="I85" s="155" t="s">
        <v>450</v>
      </c>
      <c r="J85" s="190" t="s">
        <v>53</v>
      </c>
      <c r="K85" s="190" t="s">
        <v>53</v>
      </c>
      <c r="L85" s="155" t="s">
        <v>450</v>
      </c>
      <c r="M85" s="155" t="s">
        <v>450</v>
      </c>
      <c r="N85" s="36"/>
      <c r="O85" s="691" t="s">
        <v>474</v>
      </c>
      <c r="P85" s="692"/>
      <c r="Q85" s="187">
        <f>10+ROUNDDOWN((Skills!$G$11+Skills!$H$11)/2,0)+General!$N$16</f>
        <v>5</v>
      </c>
      <c r="R85" s="187">
        <f>10+ROUNDDOWN((Skills!$G$11+Skills!$H$11)/2,0)+General!$N$16</f>
        <v>5</v>
      </c>
      <c r="S85" s="187">
        <f>10+ROUNDDOWN((Skills!$G$11+Skills!$H$11)/2,0)+General!$N$16</f>
        <v>5</v>
      </c>
      <c r="T85" s="187">
        <f>10+ROUNDDOWN((Skills!$G$11+Skills!$H$11)/2,0)+General!$N$16</f>
        <v>5</v>
      </c>
      <c r="U85" s="187">
        <f>10+ROUNDDOWN((Skills!$G$11+Skills!$H$11)/2,0)+General!$N$16</f>
        <v>5</v>
      </c>
      <c r="V85" s="187">
        <f>10+ROUNDDOWN((Skills!$G$11+Skills!$H$11)/2,0)+General!$N$16</f>
        <v>5</v>
      </c>
      <c r="W85" s="187">
        <f>10+ROUNDDOWN((Skills!$G$11+Skills!$H$11)/2,0)+General!$N$16</f>
        <v>5</v>
      </c>
      <c r="X85" s="187">
        <f>10+ROUNDDOWN((Skills!$G$11+Skills!$H$11)/2,0)+General!$N$16</f>
        <v>5</v>
      </c>
      <c r="Y85" s="190">
        <f>10+ROUNDDOWN((Skills!$G$11+Skills!$H$11)/2,0)+General!$N$16</f>
        <v>5</v>
      </c>
      <c r="Z85" s="36"/>
      <c r="AA85" s="36"/>
      <c r="AM85" s="36"/>
      <c r="AN85" s="36"/>
      <c r="AO85" s="36"/>
      <c r="AP85" s="36"/>
      <c r="AQ85" s="36"/>
    </row>
    <row r="86" spans="1:43" ht="18" customHeight="1" x14ac:dyDescent="0.25">
      <c r="A86" s="542" t="s">
        <v>471</v>
      </c>
      <c r="B86" s="542"/>
      <c r="C86" s="536">
        <v>10</v>
      </c>
      <c r="D86" s="538"/>
      <c r="E86" s="536">
        <v>10</v>
      </c>
      <c r="F86" s="538"/>
      <c r="G86" s="189">
        <v>15</v>
      </c>
      <c r="H86" s="190" t="s">
        <v>53</v>
      </c>
      <c r="I86" s="190" t="s">
        <v>53</v>
      </c>
      <c r="J86" s="155" t="s">
        <v>547</v>
      </c>
      <c r="K86" s="190" t="s">
        <v>53</v>
      </c>
      <c r="L86" s="190" t="s">
        <v>53</v>
      </c>
      <c r="M86" s="190" t="s">
        <v>53</v>
      </c>
      <c r="N86" s="36"/>
      <c r="O86" s="691" t="s">
        <v>467</v>
      </c>
      <c r="P86" s="692"/>
      <c r="Q86" s="187" t="s">
        <v>475</v>
      </c>
      <c r="R86" s="187" t="s">
        <v>475</v>
      </c>
      <c r="S86" s="187" t="s">
        <v>475</v>
      </c>
      <c r="T86" s="188" t="s">
        <v>470</v>
      </c>
      <c r="U86" s="190" t="s">
        <v>53</v>
      </c>
      <c r="V86" s="190" t="s">
        <v>53</v>
      </c>
      <c r="W86" s="190" t="s">
        <v>53</v>
      </c>
      <c r="X86" s="190" t="s">
        <v>53</v>
      </c>
      <c r="Y86" s="190" t="s">
        <v>53</v>
      </c>
      <c r="Z86" s="36"/>
      <c r="AA86" s="36"/>
      <c r="AM86" s="36"/>
      <c r="AN86" s="36"/>
      <c r="AO86" s="36"/>
      <c r="AP86" s="36"/>
      <c r="AQ86" s="36"/>
    </row>
    <row r="87" spans="1:43" ht="18" customHeight="1" x14ac:dyDescent="0.25">
      <c r="A87" s="542" t="s">
        <v>619</v>
      </c>
      <c r="B87" s="542"/>
      <c r="C87" s="536">
        <v>10</v>
      </c>
      <c r="D87" s="538"/>
      <c r="E87" s="536">
        <v>12</v>
      </c>
      <c r="F87" s="538"/>
      <c r="G87" s="189">
        <v>12</v>
      </c>
      <c r="H87" s="183" t="s">
        <v>517</v>
      </c>
      <c r="I87" s="190" t="s">
        <v>53</v>
      </c>
      <c r="J87" s="190" t="s">
        <v>53</v>
      </c>
      <c r="K87" s="183" t="s">
        <v>517</v>
      </c>
      <c r="L87" s="190" t="s">
        <v>53</v>
      </c>
      <c r="M87" s="190" t="s">
        <v>53</v>
      </c>
      <c r="N87" s="36"/>
      <c r="O87" s="691" t="s">
        <v>584</v>
      </c>
      <c r="P87" s="692"/>
      <c r="Q87" s="190">
        <v>5</v>
      </c>
      <c r="R87" s="187">
        <v>5</v>
      </c>
      <c r="S87" s="187">
        <v>10</v>
      </c>
      <c r="T87" s="190" t="s">
        <v>53</v>
      </c>
      <c r="U87" s="190" t="s">
        <v>53</v>
      </c>
      <c r="V87" s="155" t="s">
        <v>482</v>
      </c>
      <c r="W87" s="190" t="s">
        <v>53</v>
      </c>
      <c r="X87" s="190" t="s">
        <v>53</v>
      </c>
      <c r="Y87" s="190" t="s">
        <v>53</v>
      </c>
      <c r="Z87" s="36"/>
      <c r="AA87" s="36"/>
      <c r="AM87" s="36"/>
      <c r="AN87" s="36"/>
      <c r="AO87" s="36"/>
      <c r="AP87" s="36"/>
      <c r="AQ87" s="36"/>
    </row>
    <row r="88" spans="1:43" ht="18" customHeight="1" x14ac:dyDescent="0.25">
      <c r="A88" s="691" t="s">
        <v>620</v>
      </c>
      <c r="B88" s="718"/>
      <c r="C88" s="469">
        <f>General!$N$14*15</f>
        <v>-75</v>
      </c>
      <c r="D88" s="706"/>
      <c r="E88" s="469">
        <f>General!$N$14*20</f>
        <v>-100</v>
      </c>
      <c r="F88" s="706"/>
      <c r="G88" s="187">
        <f>General!$N$14*25</f>
        <v>-125</v>
      </c>
      <c r="H88" s="190" t="s">
        <v>53</v>
      </c>
      <c r="I88" s="190" t="s">
        <v>53</v>
      </c>
      <c r="J88" s="190" t="s">
        <v>53</v>
      </c>
      <c r="K88" s="187">
        <f>General!$N$14*30</f>
        <v>-150</v>
      </c>
      <c r="L88" s="187">
        <f>IF(K83="Yes",General!$N$14*40,General!$N$14*35)</f>
        <v>-175</v>
      </c>
      <c r="M88" s="190" t="s">
        <v>53</v>
      </c>
      <c r="N88" s="36"/>
      <c r="O88" s="691" t="s">
        <v>449</v>
      </c>
      <c r="P88" s="692"/>
      <c r="Q88" s="190">
        <v>4</v>
      </c>
      <c r="R88" s="187">
        <v>3</v>
      </c>
      <c r="S88" s="187">
        <v>3</v>
      </c>
      <c r="T88" s="190" t="s">
        <v>53</v>
      </c>
      <c r="U88" s="190" t="s">
        <v>53</v>
      </c>
      <c r="V88" s="190" t="s">
        <v>53</v>
      </c>
      <c r="W88" s="155" t="s">
        <v>459</v>
      </c>
      <c r="X88" s="190" t="s">
        <v>53</v>
      </c>
      <c r="Y88" s="190" t="s">
        <v>53</v>
      </c>
      <c r="Z88" s="36"/>
      <c r="AA88" s="36"/>
      <c r="AM88" s="36"/>
      <c r="AN88" s="36"/>
      <c r="AO88" s="36"/>
      <c r="AP88" s="36"/>
      <c r="AQ88" s="36"/>
    </row>
    <row r="89" spans="1:43" ht="18" customHeight="1" x14ac:dyDescent="0.25">
      <c r="A89" s="691" t="s">
        <v>449</v>
      </c>
      <c r="B89" s="692"/>
      <c r="C89" s="469">
        <v>6</v>
      </c>
      <c r="D89" s="470"/>
      <c r="E89" s="469">
        <v>6</v>
      </c>
      <c r="F89" s="470"/>
      <c r="G89" s="187">
        <v>6</v>
      </c>
      <c r="H89" s="190" t="s">
        <v>53</v>
      </c>
      <c r="I89" s="190" t="s">
        <v>53</v>
      </c>
      <c r="J89" s="190" t="s">
        <v>53</v>
      </c>
      <c r="K89" s="190" t="s">
        <v>53</v>
      </c>
      <c r="L89" s="190" t="s">
        <v>53</v>
      </c>
      <c r="M89" s="190" t="s">
        <v>53</v>
      </c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M89" s="36"/>
      <c r="AN89" s="36"/>
      <c r="AO89" s="36"/>
      <c r="AP89" s="36"/>
      <c r="AQ89" s="36"/>
    </row>
    <row r="90" spans="1:43" ht="18" customHeight="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695" t="s">
        <v>1094</v>
      </c>
      <c r="P90" s="696"/>
      <c r="Q90" s="701" t="s">
        <v>437</v>
      </c>
      <c r="R90" s="701" t="s">
        <v>439</v>
      </c>
      <c r="S90" s="701" t="s">
        <v>438</v>
      </c>
      <c r="T90" s="691" t="s">
        <v>440</v>
      </c>
      <c r="U90" s="692"/>
      <c r="V90" s="691" t="s">
        <v>441</v>
      </c>
      <c r="W90" s="692"/>
      <c r="X90" s="691" t="s">
        <v>442</v>
      </c>
      <c r="Y90" s="692"/>
      <c r="Z90" s="36"/>
      <c r="AA90" s="36"/>
      <c r="AM90" s="36"/>
      <c r="AN90" s="36"/>
      <c r="AO90" s="36"/>
      <c r="AP90" s="36"/>
      <c r="AQ90" s="36"/>
    </row>
    <row r="91" spans="1:43" ht="30" customHeight="1" x14ac:dyDescent="0.25">
      <c r="A91" s="695" t="s">
        <v>631</v>
      </c>
      <c r="B91" s="696"/>
      <c r="C91" s="710" t="s">
        <v>437</v>
      </c>
      <c r="D91" s="711"/>
      <c r="E91" s="710" t="s">
        <v>439</v>
      </c>
      <c r="F91" s="711"/>
      <c r="G91" s="701" t="s">
        <v>438</v>
      </c>
      <c r="H91" s="710" t="s">
        <v>440</v>
      </c>
      <c r="I91" s="711"/>
      <c r="J91" s="691" t="s">
        <v>441</v>
      </c>
      <c r="K91" s="692"/>
      <c r="L91" s="691" t="s">
        <v>442</v>
      </c>
      <c r="M91" s="692"/>
      <c r="N91" s="36"/>
      <c r="O91" s="697"/>
      <c r="P91" s="698"/>
      <c r="Q91" s="703"/>
      <c r="R91" s="703"/>
      <c r="S91" s="703"/>
      <c r="T91" s="154" t="s">
        <v>1095</v>
      </c>
      <c r="U91" s="152" t="s">
        <v>1096</v>
      </c>
      <c r="V91" s="154" t="s">
        <v>1097</v>
      </c>
      <c r="W91" s="152" t="s">
        <v>453</v>
      </c>
      <c r="X91" s="154" t="s">
        <v>469</v>
      </c>
      <c r="Y91" s="152" t="s">
        <v>1049</v>
      </c>
      <c r="Z91" s="36"/>
      <c r="AA91" s="36"/>
      <c r="AM91" s="36"/>
      <c r="AN91" s="36"/>
      <c r="AO91" s="36"/>
      <c r="AP91" s="36"/>
      <c r="AQ91" s="36"/>
    </row>
    <row r="92" spans="1:43" ht="18" customHeight="1" x14ac:dyDescent="0.25">
      <c r="A92" s="697"/>
      <c r="B92" s="698"/>
      <c r="C92" s="712"/>
      <c r="D92" s="713"/>
      <c r="E92" s="712"/>
      <c r="F92" s="713"/>
      <c r="G92" s="703"/>
      <c r="H92" s="712"/>
      <c r="I92" s="713"/>
      <c r="J92" s="154" t="s">
        <v>575</v>
      </c>
      <c r="K92" s="152" t="s">
        <v>627</v>
      </c>
      <c r="L92" s="154" t="s">
        <v>628</v>
      </c>
      <c r="M92" s="152" t="s">
        <v>629</v>
      </c>
      <c r="N92" s="36"/>
      <c r="O92" s="542" t="s">
        <v>248</v>
      </c>
      <c r="P92" s="542"/>
      <c r="Q92" s="101"/>
      <c r="R92" s="266"/>
      <c r="S92" s="266"/>
      <c r="T92" s="262"/>
      <c r="U92" s="267"/>
      <c r="V92" s="262"/>
      <c r="W92" s="267"/>
      <c r="X92" s="262"/>
      <c r="Y92" s="267"/>
      <c r="Z92" s="36"/>
      <c r="AA92" s="36"/>
      <c r="AM92" s="36"/>
      <c r="AN92" s="36"/>
      <c r="AO92" s="36"/>
      <c r="AP92" s="36"/>
      <c r="AQ92" s="36"/>
    </row>
    <row r="93" spans="1:43" ht="18" customHeight="1" x14ac:dyDescent="0.25">
      <c r="A93" s="542" t="s">
        <v>248</v>
      </c>
      <c r="B93" s="542"/>
      <c r="C93" s="708"/>
      <c r="D93" s="709"/>
      <c r="E93" s="708"/>
      <c r="F93" s="709"/>
      <c r="G93" s="185"/>
      <c r="H93" s="708"/>
      <c r="I93" s="709"/>
      <c r="J93" s="184"/>
      <c r="K93" s="186"/>
      <c r="L93" s="184"/>
      <c r="M93" s="186"/>
      <c r="N93" s="36"/>
      <c r="O93" s="542" t="s">
        <v>247</v>
      </c>
      <c r="P93" s="542"/>
      <c r="Q93" s="261" t="str">
        <f>IF(AND(SUM(Skills!$G$11+Skills!$H$11)&gt;=6,SUM(Skills!$G$36+Skills!$H$36)&gt;=2,General!$B$1="Human",OR(General!$Y$7=General!$AH$9,General!$Y$7=General!$AH$9)),"Yes","No")</f>
        <v>No</v>
      </c>
      <c r="R93" s="261" t="str">
        <f>IF(AND(SUM(Skills!$G$11+Skills!$H$11)&gt;=8,SUM(Skills!$G$36+Skills!$H$36)&gt;=4,General!$B$1="Human",OR(General!$Y$7=General!$AH$9,General!$Y$7=General!$AH$9)),"Yes","No")</f>
        <v>No</v>
      </c>
      <c r="S93" s="261" t="str">
        <f>IF(AND(SUM(Skills!$G$11+Skills!$H$11)&gt;=10,SUM(Skills!$G$36+Skills!$H$36)&gt;=6,General!$B$1="Human",OR(General!$Y$7=General!$AH$9,General!$Y$7=General!$AH$9)),"Yes","No")</f>
        <v>No</v>
      </c>
      <c r="T93" s="261" t="str">
        <f>IF(AND(SUM(Skills!$G$11+Skills!$H$11)&gt;=12,SUM(Skills!$G$36+Skills!$H$36)&gt;=8,General!$B$1="Human",OR(General!$Y$7=General!$AH$9,General!$Y$7=General!$AH$9)),"Yes","No")</f>
        <v>No</v>
      </c>
      <c r="U93" s="261" t="str">
        <f>IF(AND(SUM(Skills!$G$11+Skills!$H$11)&gt;=12,SUM(Skills!$G$36+Skills!$H$36)&gt;=8,General!$B$1="Human",OR(General!$Y$7=General!$AH$9,General!$Y$7=General!$AH$9)),"Yes","No")</f>
        <v>No</v>
      </c>
      <c r="V93" s="261" t="str">
        <f>IF(AND(SUM(Skills!$G$11+Skills!$H$11)&gt;=14,SUM(Skills!$G$36+Skills!$H$36)&gt;=10,General!$B$1="Human",OR(General!$Y$7=General!$AH$9,General!$Y$7=General!$AH$9)),"Yes","No")</f>
        <v>No</v>
      </c>
      <c r="W93" s="261" t="str">
        <f>IF(AND(SUM(Skills!$G$11+Skills!$H$11)&gt;=14,SUM(Skills!$G$36+Skills!$H$36)&gt;=10,General!$B$1="Human",OR(General!$Y$7=General!$AH$9,General!$Y$7=General!$AH$9)),"Yes","No")</f>
        <v>No</v>
      </c>
      <c r="X93" s="261" t="str">
        <f>IF(AND(SUM(Skills!$G$11+Skills!$H$11)&gt;=16,SUM(Skills!$G$36+Skills!$H$36)&gt;=12,General!$B$1="Human",OR(General!$Y$7=General!$AH$9,General!$Y$7=General!$AH$9)),"Yes","No")</f>
        <v>No</v>
      </c>
      <c r="Y93" s="261" t="str">
        <f>IF(AND(SUM(Skills!$G$11+Skills!$H$11)&gt;=16,SUM(Skills!$G$36+Skills!$H$36)&gt;=12,General!$B$1="Human",OR(General!$Y$7=General!$AH$9,General!$Y$7=General!$AH$9)),"Yes","No")</f>
        <v>No</v>
      </c>
      <c r="Z93" s="36"/>
      <c r="AA93" s="36"/>
      <c r="AM93" s="36"/>
      <c r="AN93" s="36"/>
      <c r="AO93" s="36"/>
      <c r="AP93" s="36"/>
      <c r="AQ93" s="36"/>
    </row>
    <row r="94" spans="1:43" ht="18" customHeight="1" x14ac:dyDescent="0.25">
      <c r="A94" s="542" t="s">
        <v>247</v>
      </c>
      <c r="B94" s="542"/>
      <c r="C94" s="469" t="str">
        <f>IF(SUM(Skills!$G$11+Skills!$H$11)&gt;=2,"Yes","No")</f>
        <v>No</v>
      </c>
      <c r="D94" s="470"/>
      <c r="E94" s="469" t="str">
        <f>IF(SUM(Skills!$G$11+Skills!$H$11)&gt;=4,"Yes","No")</f>
        <v>No</v>
      </c>
      <c r="F94" s="470"/>
      <c r="G94" s="187" t="str">
        <f>IF(SUM(Skills!$G$11+Skills!$H$11)&gt;=6,"Yes","No")</f>
        <v>No</v>
      </c>
      <c r="H94" s="469" t="str">
        <f>IF(SUM(Skills!$G$11+Skills!$H$11)&gt;=8,"Yes","No")</f>
        <v>No</v>
      </c>
      <c r="I94" s="470"/>
      <c r="J94" s="187" t="str">
        <f>IF(SUM(Skills!$G$11+Skills!$H$11)&gt;=10,"Yes","No")</f>
        <v>No</v>
      </c>
      <c r="K94" s="187" t="str">
        <f>IF(SUM(Skills!$G$11+Skills!$H$11)&gt;=10,"Yes","No")</f>
        <v>No</v>
      </c>
      <c r="L94" s="187" t="str">
        <f>IF(SUM(Skills!$G$11+Skills!$H$11)&gt;=12,"Yes","No")</f>
        <v>No</v>
      </c>
      <c r="M94" s="190" t="str">
        <f>IF(SUM(Skills!$G$11+Skills!$H$11)&gt;=12,"Yes","No")</f>
        <v>No</v>
      </c>
      <c r="N94" s="36"/>
      <c r="O94" s="691" t="s">
        <v>582</v>
      </c>
      <c r="P94" s="692"/>
      <c r="Q94" s="261">
        <v>3</v>
      </c>
      <c r="R94" s="261">
        <v>3</v>
      </c>
      <c r="S94" s="261">
        <v>4</v>
      </c>
      <c r="T94" s="155" t="s">
        <v>450</v>
      </c>
      <c r="U94" s="155" t="s">
        <v>450</v>
      </c>
      <c r="V94" s="261" t="s">
        <v>53</v>
      </c>
      <c r="W94" s="261" t="s">
        <v>53</v>
      </c>
      <c r="X94" s="155" t="s">
        <v>517</v>
      </c>
      <c r="Y94" s="155" t="s">
        <v>517</v>
      </c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 ht="18" customHeight="1" x14ac:dyDescent="0.25">
      <c r="A95" s="691" t="s">
        <v>582</v>
      </c>
      <c r="B95" s="692"/>
      <c r="C95" s="469">
        <v>1</v>
      </c>
      <c r="D95" s="470"/>
      <c r="E95" s="469">
        <v>1</v>
      </c>
      <c r="F95" s="470"/>
      <c r="G95" s="190">
        <v>1</v>
      </c>
      <c r="H95" s="469">
        <v>1</v>
      </c>
      <c r="I95" s="470"/>
      <c r="J95" s="155" t="s">
        <v>450</v>
      </c>
      <c r="K95" s="155" t="s">
        <v>450</v>
      </c>
      <c r="L95" s="190" t="s">
        <v>53</v>
      </c>
      <c r="M95" s="190" t="s">
        <v>53</v>
      </c>
      <c r="N95" s="36"/>
      <c r="O95" s="691" t="s">
        <v>474</v>
      </c>
      <c r="P95" s="692"/>
      <c r="Q95" s="261">
        <f>10+ROUNDDOWN((Skills!$G$11+Skills!$H$11)/2,0)+General!$N$14</f>
        <v>5</v>
      </c>
      <c r="R95" s="261">
        <f>10+ROUNDDOWN((Skills!$G$11+Skills!$H$11)/2,0)+General!$N$14</f>
        <v>5</v>
      </c>
      <c r="S95" s="261">
        <f>10+ROUNDDOWN((Skills!$G$11+Skills!$H$11)/2,0)+General!$N$14</f>
        <v>5</v>
      </c>
      <c r="T95" s="261">
        <f>10+ROUNDDOWN((Skills!$G$11+Skills!$H$11)/2,0)+General!$N$14</f>
        <v>5</v>
      </c>
      <c r="U95" s="261">
        <f>10+ROUNDDOWN((Skills!$G$11+Skills!$H$11)/2,0)+General!$N$14</f>
        <v>5</v>
      </c>
      <c r="V95" s="261">
        <f>10+ROUNDDOWN((Skills!$G$11+Skills!$H$11)/2,0)+General!$N$14</f>
        <v>5</v>
      </c>
      <c r="W95" s="261">
        <f>10+ROUNDDOWN((Skills!$G$11+Skills!$H$11)/2,0)+General!$N$14</f>
        <v>5</v>
      </c>
      <c r="X95" s="261">
        <f>10+ROUNDDOWN((Skills!$G$11+Skills!$H$11)/2,0)+General!$N$14</f>
        <v>5</v>
      </c>
      <c r="Y95" s="261">
        <f>10+ROUNDDOWN((Skills!$G$11+Skills!$H$11)/2,0)+General!$N$14</f>
        <v>5</v>
      </c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</row>
    <row r="96" spans="1:43" ht="18" customHeight="1" x14ac:dyDescent="0.25">
      <c r="A96" s="691" t="s">
        <v>626</v>
      </c>
      <c r="B96" s="692"/>
      <c r="C96" s="469">
        <f>General!$N$14</f>
        <v>-5</v>
      </c>
      <c r="D96" s="470"/>
      <c r="E96" s="469">
        <f>General!$N$14</f>
        <v>-5</v>
      </c>
      <c r="F96" s="470"/>
      <c r="G96" s="187">
        <f>General!$N$14</f>
        <v>-5</v>
      </c>
      <c r="H96" s="469">
        <f>General!$N$14</f>
        <v>-5</v>
      </c>
      <c r="I96" s="470"/>
      <c r="J96" s="190" t="s">
        <v>53</v>
      </c>
      <c r="K96" s="190" t="s">
        <v>53</v>
      </c>
      <c r="L96" s="261" t="s">
        <v>1076</v>
      </c>
      <c r="M96" s="190" t="s">
        <v>53</v>
      </c>
      <c r="N96" s="36"/>
      <c r="O96" s="691" t="s">
        <v>1098</v>
      </c>
      <c r="P96" s="692"/>
      <c r="Q96" s="261" t="s">
        <v>1099</v>
      </c>
      <c r="R96" s="261" t="s">
        <v>1099</v>
      </c>
      <c r="S96" s="261" t="s">
        <v>1099</v>
      </c>
      <c r="T96" s="261" t="s">
        <v>53</v>
      </c>
      <c r="U96" s="261" t="s">
        <v>53</v>
      </c>
      <c r="V96" s="261" t="s">
        <v>53</v>
      </c>
      <c r="W96" s="261" t="s">
        <v>53</v>
      </c>
      <c r="X96" s="261" t="s">
        <v>53</v>
      </c>
      <c r="Y96" s="261" t="s">
        <v>1100</v>
      </c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</row>
    <row r="97" spans="1:43" ht="18" customHeight="1" x14ac:dyDescent="0.25">
      <c r="A97" s="691" t="s">
        <v>552</v>
      </c>
      <c r="B97" s="692"/>
      <c r="C97" s="536">
        <f>General!$N$16</f>
        <v>-5</v>
      </c>
      <c r="D97" s="538"/>
      <c r="E97" s="719" t="str">
        <f>"1d4+"&amp;1*General!N16</f>
        <v>1d4+-5</v>
      </c>
      <c r="F97" s="538"/>
      <c r="G97" s="199" t="str">
        <f>General!N16&amp;"d4"</f>
        <v>-5d4</v>
      </c>
      <c r="H97" s="719" t="str">
        <f>General!N16&amp;"d6"</f>
        <v>-5d6</v>
      </c>
      <c r="I97" s="538"/>
      <c r="J97" s="190" t="s">
        <v>53</v>
      </c>
      <c r="K97" s="190" t="s">
        <v>53</v>
      </c>
      <c r="L97" s="190" t="s">
        <v>53</v>
      </c>
      <c r="M97" s="183" t="str">
        <f>"+"&amp;General!N16&amp;"d4"</f>
        <v>+-5d4</v>
      </c>
      <c r="N97" s="36"/>
      <c r="O97" s="691" t="s">
        <v>467</v>
      </c>
      <c r="P97" s="692"/>
      <c r="Q97" s="261" t="s">
        <v>1101</v>
      </c>
      <c r="R97" s="261" t="s">
        <v>1101</v>
      </c>
      <c r="S97" s="261" t="s">
        <v>1102</v>
      </c>
      <c r="T97" s="155" t="s">
        <v>470</v>
      </c>
      <c r="U97" s="261" t="s">
        <v>1076</v>
      </c>
      <c r="V97" s="155" t="s">
        <v>470</v>
      </c>
      <c r="W97" s="261" t="s">
        <v>53</v>
      </c>
      <c r="X97" s="261" t="s">
        <v>1076</v>
      </c>
      <c r="Y97" s="261" t="s">
        <v>53</v>
      </c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</row>
    <row r="98" spans="1:43" ht="18" customHeight="1" x14ac:dyDescent="0.25">
      <c r="A98" s="691" t="s">
        <v>449</v>
      </c>
      <c r="B98" s="692"/>
      <c r="C98" s="469">
        <v>1</v>
      </c>
      <c r="D98" s="470"/>
      <c r="E98" s="469">
        <v>1</v>
      </c>
      <c r="F98" s="470"/>
      <c r="G98" s="187">
        <v>1</v>
      </c>
      <c r="H98" s="469" t="s">
        <v>53</v>
      </c>
      <c r="I98" s="470"/>
      <c r="J98" s="190" t="s">
        <v>53</v>
      </c>
      <c r="K98" s="190" t="s">
        <v>53</v>
      </c>
      <c r="L98" s="190" t="s">
        <v>53</v>
      </c>
      <c r="M98" s="190" t="s">
        <v>53</v>
      </c>
      <c r="N98" s="36"/>
      <c r="O98" s="691" t="s">
        <v>1103</v>
      </c>
      <c r="P98" s="692"/>
      <c r="Q98" s="261">
        <v>10</v>
      </c>
      <c r="R98" s="261">
        <v>10</v>
      </c>
      <c r="S98" s="261">
        <v>15</v>
      </c>
      <c r="T98" s="261" t="s">
        <v>53</v>
      </c>
      <c r="U98" s="261" t="s">
        <v>53</v>
      </c>
      <c r="V98" s="155" t="s">
        <v>482</v>
      </c>
      <c r="W98" s="261" t="s">
        <v>53</v>
      </c>
      <c r="X98" s="261" t="s">
        <v>53</v>
      </c>
      <c r="Y98" s="261" t="s">
        <v>53</v>
      </c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</row>
    <row r="99" spans="1:43" ht="18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691" t="s">
        <v>571</v>
      </c>
      <c r="P99" s="692"/>
      <c r="Q99" s="261" t="s">
        <v>53</v>
      </c>
      <c r="R99" s="261" t="s">
        <v>53</v>
      </c>
      <c r="S99" s="261" t="s">
        <v>53</v>
      </c>
      <c r="T99" s="261" t="s">
        <v>1105</v>
      </c>
      <c r="U99" s="261" t="s">
        <v>1106</v>
      </c>
      <c r="V99" s="261" t="s">
        <v>53</v>
      </c>
      <c r="W99" s="261" t="s">
        <v>53</v>
      </c>
      <c r="X99" s="261" t="s">
        <v>53</v>
      </c>
      <c r="Y99" s="261" t="s">
        <v>53</v>
      </c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</row>
    <row r="100" spans="1:43" ht="18" customHeight="1" x14ac:dyDescent="0.25">
      <c r="A100" s="695" t="s">
        <v>1086</v>
      </c>
      <c r="B100" s="696"/>
      <c r="C100" s="710" t="s">
        <v>437</v>
      </c>
      <c r="D100" s="711"/>
      <c r="E100" s="710" t="s">
        <v>439</v>
      </c>
      <c r="F100" s="711"/>
      <c r="G100" s="701" t="s">
        <v>438</v>
      </c>
      <c r="H100" s="691" t="s">
        <v>440</v>
      </c>
      <c r="I100" s="692"/>
      <c r="J100" s="691" t="s">
        <v>441</v>
      </c>
      <c r="K100" s="692"/>
      <c r="L100" s="691" t="s">
        <v>442</v>
      </c>
      <c r="M100" s="692"/>
      <c r="N100" s="36"/>
      <c r="O100" s="691" t="s">
        <v>449</v>
      </c>
      <c r="P100" s="692"/>
      <c r="Q100" s="261">
        <v>4</v>
      </c>
      <c r="R100" s="263">
        <v>3</v>
      </c>
      <c r="S100" s="263">
        <v>3</v>
      </c>
      <c r="T100" s="261" t="s">
        <v>53</v>
      </c>
      <c r="U100" s="261" t="s">
        <v>53</v>
      </c>
      <c r="V100" s="261" t="s">
        <v>53</v>
      </c>
      <c r="W100" s="155" t="s">
        <v>459</v>
      </c>
      <c r="X100" s="261" t="s">
        <v>53</v>
      </c>
      <c r="Y100" s="261" t="s">
        <v>53</v>
      </c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</row>
    <row r="101" spans="1:43" ht="30" customHeight="1" x14ac:dyDescent="0.25">
      <c r="A101" s="697"/>
      <c r="B101" s="698"/>
      <c r="C101" s="712"/>
      <c r="D101" s="713"/>
      <c r="E101" s="712"/>
      <c r="F101" s="713"/>
      <c r="G101" s="703"/>
      <c r="H101" s="154" t="s">
        <v>1084</v>
      </c>
      <c r="I101" s="152" t="s">
        <v>1085</v>
      </c>
      <c r="J101" s="154" t="s">
        <v>723</v>
      </c>
      <c r="K101" s="152" t="s">
        <v>453</v>
      </c>
      <c r="L101" s="154" t="s">
        <v>467</v>
      </c>
      <c r="M101" s="152" t="s">
        <v>537</v>
      </c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</row>
    <row r="102" spans="1:43" ht="18" customHeight="1" x14ac:dyDescent="0.25">
      <c r="A102" s="542" t="s">
        <v>248</v>
      </c>
      <c r="B102" s="542"/>
      <c r="C102" s="708"/>
      <c r="D102" s="709"/>
      <c r="E102" s="708"/>
      <c r="F102" s="709"/>
      <c r="G102" s="266"/>
      <c r="H102" s="262"/>
      <c r="I102" s="267"/>
      <c r="J102" s="262"/>
      <c r="K102" s="267"/>
      <c r="L102" s="262"/>
      <c r="M102" s="267"/>
      <c r="N102" s="36"/>
      <c r="O102" s="695" t="s">
        <v>667</v>
      </c>
      <c r="P102" s="696"/>
      <c r="Q102" s="701" t="s">
        <v>437</v>
      </c>
      <c r="R102" s="701" t="s">
        <v>439</v>
      </c>
      <c r="S102" s="701" t="s">
        <v>438</v>
      </c>
      <c r="T102" s="691" t="s">
        <v>440</v>
      </c>
      <c r="U102" s="692"/>
      <c r="V102" s="691" t="s">
        <v>441</v>
      </c>
      <c r="W102" s="692"/>
      <c r="X102" s="691" t="s">
        <v>442</v>
      </c>
      <c r="Y102" s="692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</row>
    <row r="103" spans="1:43" ht="18" customHeight="1" x14ac:dyDescent="0.25">
      <c r="A103" s="542" t="s">
        <v>247</v>
      </c>
      <c r="B103" s="542"/>
      <c r="C103" s="468" t="str">
        <f>IF(AND(SUM(Skills!$G$11+Skills!$H$11)&gt;=10,SUM(Skills!$G$35+Skills!$H$35)&gt;=5),"Yes","No")</f>
        <v>No</v>
      </c>
      <c r="D103" s="468"/>
      <c r="E103" s="468" t="str">
        <f>IF(AND(SUM(Skills!$G$11+Skills!$H$11)&gt;=12,SUM(Skills!$G$35+Skills!$H$35)&gt;=7),"Yes","No")</f>
        <v>No</v>
      </c>
      <c r="F103" s="468"/>
      <c r="G103" s="261" t="str">
        <f>IF(AND(SUM(Skills!$G$11+Skills!$H$11)&gt;=14,SUM(Skills!$G$35+Skills!$H$35)&gt;=9),"Yes","No")</f>
        <v>No</v>
      </c>
      <c r="H103" s="261" t="str">
        <f>IF(AND(SUM(Skills!$G$11+Skills!$H$11)&gt;=16,SUM(Skills!$G$35+Skills!$H$35)&gt;=11),"Yes","No")</f>
        <v>No</v>
      </c>
      <c r="I103" s="261" t="str">
        <f>IF(AND(SUM(Skills!$G$11+Skills!$H$11)&gt;=16,SUM(Skills!$G$35+Skills!$H$35)&gt;=11),"Yes","No")</f>
        <v>No</v>
      </c>
      <c r="J103" s="261" t="str">
        <f>IF(AND(SUM(Skills!$G$11+Skills!$H$11)&gt;=18,SUM(Skills!$G$35+Skills!$H$35)&gt;=13),"Yes","No")</f>
        <v>No</v>
      </c>
      <c r="K103" s="261" t="str">
        <f>IF(AND(SUM(Skills!$G$11+Skills!$H$11)&gt;=18,SUM(Skills!$G$35+Skills!$H$35)&gt;=13),"Yes","No")</f>
        <v>No</v>
      </c>
      <c r="L103" s="261" t="str">
        <f>IF(AND(SUM(Skills!$G$11+Skills!$H$11)&gt;=20,SUM(Skills!$G$35+Skills!$H$35)&gt;=15),"Yes","No")</f>
        <v>No</v>
      </c>
      <c r="M103" s="261" t="str">
        <f>IF(AND(SUM(Skills!$G$11+Skills!$H$11)&gt;=20,SUM(Skills!$G$35+Skills!$H$35)&gt;=15),"Yes","No")</f>
        <v>No</v>
      </c>
      <c r="N103" s="36"/>
      <c r="O103" s="697"/>
      <c r="P103" s="698"/>
      <c r="Q103" s="703"/>
      <c r="R103" s="703"/>
      <c r="S103" s="703"/>
      <c r="T103" s="154" t="s">
        <v>446</v>
      </c>
      <c r="U103" s="152" t="s">
        <v>668</v>
      </c>
      <c r="V103" s="154" t="s">
        <v>675</v>
      </c>
      <c r="W103" s="152" t="s">
        <v>658</v>
      </c>
      <c r="X103" s="154" t="s">
        <v>676</v>
      </c>
      <c r="Y103" s="152" t="s">
        <v>453</v>
      </c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</row>
    <row r="104" spans="1:43" ht="18" customHeight="1" x14ac:dyDescent="0.25">
      <c r="A104" s="691" t="s">
        <v>474</v>
      </c>
      <c r="B104" s="692"/>
      <c r="C104" s="469">
        <f>10+ROUNDDOWN((Skills!$G$11+Skills!$H$11)/2,0)+General!$N$14</f>
        <v>5</v>
      </c>
      <c r="D104" s="470"/>
      <c r="E104" s="469">
        <f>10+ROUNDDOWN((Skills!$G$11+Skills!$H$11)/2,0)+General!$N$14</f>
        <v>5</v>
      </c>
      <c r="F104" s="470"/>
      <c r="G104" s="263">
        <f>10+ROUNDDOWN((Skills!$G$11+Skills!$H$11)/2,0)+General!$N$14</f>
        <v>5</v>
      </c>
      <c r="H104" s="263">
        <f>10+ROUNDDOWN((Skills!$G$11+Skills!$H$11)/2,0)+General!$N$14</f>
        <v>5</v>
      </c>
      <c r="I104" s="263">
        <f>10+ROUNDDOWN((Skills!$G$11+Skills!$H$11)/2,0)+General!$N$14</f>
        <v>5</v>
      </c>
      <c r="J104" s="263">
        <f>10+ROUNDDOWN((Skills!$G$11+Skills!$H$11)/2,0)+General!$N$14</f>
        <v>5</v>
      </c>
      <c r="K104" s="263">
        <f>10+ROUNDDOWN((Skills!$G$11+Skills!$H$11)/2,0)+General!$N$14</f>
        <v>5</v>
      </c>
      <c r="L104" s="263">
        <f>10+ROUNDDOWN((Skills!$G$11+Skills!$H$11)/2,0)+General!$N$14</f>
        <v>5</v>
      </c>
      <c r="M104" s="261">
        <f>10+ROUNDDOWN((Skills!$G$11+Skills!$H$11)/2,0)+General!$N$14</f>
        <v>5</v>
      </c>
      <c r="N104" s="36"/>
      <c r="O104" s="542" t="s">
        <v>248</v>
      </c>
      <c r="P104" s="542"/>
      <c r="Q104" s="101"/>
      <c r="R104" s="185"/>
      <c r="S104" s="185"/>
      <c r="T104" s="184"/>
      <c r="U104" s="186"/>
      <c r="V104" s="184"/>
      <c r="W104" s="186"/>
      <c r="X104" s="184"/>
      <c r="Y104" s="18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</row>
    <row r="105" spans="1:43" ht="18" customHeight="1" x14ac:dyDescent="0.25">
      <c r="A105" s="691" t="s">
        <v>582</v>
      </c>
      <c r="B105" s="692"/>
      <c r="C105" s="468">
        <v>3</v>
      </c>
      <c r="D105" s="468"/>
      <c r="E105" s="468">
        <v>3</v>
      </c>
      <c r="F105" s="468"/>
      <c r="G105" s="261">
        <v>3</v>
      </c>
      <c r="H105" s="261" t="s">
        <v>53</v>
      </c>
      <c r="I105" s="155" t="s">
        <v>450</v>
      </c>
      <c r="J105" s="155" t="s">
        <v>450</v>
      </c>
      <c r="K105" s="155" t="s">
        <v>450</v>
      </c>
      <c r="L105" s="155" t="s">
        <v>450</v>
      </c>
      <c r="M105" s="155" t="s">
        <v>450</v>
      </c>
      <c r="N105" s="36"/>
      <c r="O105" s="542" t="s">
        <v>247</v>
      </c>
      <c r="P105" s="542"/>
      <c r="Q105" s="190" t="str">
        <f>IF(AND(SUM(Skills!$G$11+Skills!$H$11)&gt;=7,SUM(Skills!$G$36+Skills!$H$36)&gt;=3),"Yes","No")</f>
        <v>No</v>
      </c>
      <c r="R105" s="190" t="str">
        <f>IF(AND(SUM(Skills!$G$11+Skills!$H$11)&gt;=9,SUM(Skills!$G$36+Skills!$H$36)&gt;=5),"Yes","No")</f>
        <v>No</v>
      </c>
      <c r="S105" s="190" t="str">
        <f>IF(AND(SUM(Skills!$G$11+Skills!$H$11)&gt;=11,SUM(Skills!$G$36+Skills!$H$36)&gt;=7),"Yes","No")</f>
        <v>No</v>
      </c>
      <c r="T105" s="190" t="str">
        <f>IF(AND(SUM(Skills!$G$11+Skills!$H$11)&gt;=13,SUM(Skills!$G$36+Skills!$H$36)&gt;=9),"Yes","No")</f>
        <v>No</v>
      </c>
      <c r="U105" s="190" t="str">
        <f>IF(AND(SUM(Skills!$G$11+Skills!$H$11)&gt;=13,SUM(Skills!$G$36+Skills!$H$36)&gt;=9),"Yes","No")</f>
        <v>No</v>
      </c>
      <c r="V105" s="190" t="str">
        <f>IF(AND(SUM(Skills!$G$11+Skills!$H$11)&gt;=15,SUM(Skills!$G$36+Skills!$H$36)&gt;=11),"Yes","No")</f>
        <v>No</v>
      </c>
      <c r="W105" s="190" t="str">
        <f>IF(AND(SUM(Skills!$G$11+Skills!$H$11)&gt;=15,SUM(Skills!$G$36+Skills!$H$36)&gt;=11),"Yes","No")</f>
        <v>No</v>
      </c>
      <c r="X105" s="190" t="str">
        <f>IF(AND(SUM(Skills!$G$11+Skills!$H$11)&gt;=17,SUM(Skills!$G$36+Skills!$H$36)&gt;=13),"Yes","No")</f>
        <v>No</v>
      </c>
      <c r="Y105" s="190" t="str">
        <f>IF(AND(SUM(Skills!$G$11+Skills!$H$11)&gt;=17,SUM(Skills!$G$36+Skills!$H$36)&gt;=13),"Yes","No")</f>
        <v>No</v>
      </c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</row>
    <row r="106" spans="1:43" ht="18" customHeight="1" x14ac:dyDescent="0.25">
      <c r="A106" s="542" t="s">
        <v>467</v>
      </c>
      <c r="B106" s="542"/>
      <c r="C106" s="563">
        <f>General!$N$16</f>
        <v>-5</v>
      </c>
      <c r="D106" s="563"/>
      <c r="E106" s="563">
        <f>General!$N$16</f>
        <v>-5</v>
      </c>
      <c r="F106" s="563"/>
      <c r="G106" s="265">
        <f>General!$N$16*2</f>
        <v>-10</v>
      </c>
      <c r="H106" s="155">
        <f>IF(General!$N$14&gt;=0,CONCATENATE("+",General!$N$14),General!$N$14)</f>
        <v>-5</v>
      </c>
      <c r="I106" s="261" t="s">
        <v>53</v>
      </c>
      <c r="J106" s="261" t="s">
        <v>53</v>
      </c>
      <c r="K106" s="261" t="s">
        <v>53</v>
      </c>
      <c r="L106" s="155">
        <f>IF(General!$N$16&gt;=0,CONCATENATE("+",General!$N$16),General!$N$16)</f>
        <v>-5</v>
      </c>
      <c r="M106" s="261" t="s">
        <v>1076</v>
      </c>
      <c r="N106" s="36"/>
      <c r="O106" s="691" t="s">
        <v>582</v>
      </c>
      <c r="P106" s="692"/>
      <c r="Q106" s="190">
        <v>3</v>
      </c>
      <c r="R106" s="190">
        <v>3</v>
      </c>
      <c r="S106" s="190">
        <v>4</v>
      </c>
      <c r="T106" s="190" t="s">
        <v>53</v>
      </c>
      <c r="U106" s="190" t="s">
        <v>53</v>
      </c>
      <c r="V106" s="155" t="s">
        <v>450</v>
      </c>
      <c r="W106" s="155" t="s">
        <v>450</v>
      </c>
      <c r="X106" s="155" t="s">
        <v>517</v>
      </c>
      <c r="Y106" s="155" t="s">
        <v>450</v>
      </c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</row>
    <row r="107" spans="1:43" ht="18" customHeight="1" x14ac:dyDescent="0.25">
      <c r="A107" s="691" t="s">
        <v>249</v>
      </c>
      <c r="B107" s="718"/>
      <c r="C107" s="468">
        <v>5</v>
      </c>
      <c r="D107" s="721"/>
      <c r="E107" s="468">
        <v>5</v>
      </c>
      <c r="F107" s="721"/>
      <c r="G107" s="261">
        <v>5</v>
      </c>
      <c r="H107" s="261" t="s">
        <v>53</v>
      </c>
      <c r="I107" s="155" t="s">
        <v>517</v>
      </c>
      <c r="J107" s="261" t="s">
        <v>53</v>
      </c>
      <c r="K107" s="261" t="s">
        <v>53</v>
      </c>
      <c r="L107" s="261" t="s">
        <v>53</v>
      </c>
      <c r="M107" s="261" t="s">
        <v>53</v>
      </c>
      <c r="N107" s="36"/>
      <c r="O107" s="691" t="s">
        <v>668</v>
      </c>
      <c r="P107" s="692"/>
      <c r="Q107" s="187">
        <f>10*General!$N$14</f>
        <v>-50</v>
      </c>
      <c r="R107" s="187">
        <f>10*General!$N$14</f>
        <v>-50</v>
      </c>
      <c r="S107" s="187">
        <f>10*General!$N$14</f>
        <v>-50</v>
      </c>
      <c r="T107" s="190" t="s">
        <v>53</v>
      </c>
      <c r="U107" s="187">
        <f>15*General!$N$14</f>
        <v>-75</v>
      </c>
      <c r="V107" s="190" t="s">
        <v>53</v>
      </c>
      <c r="W107" s="190" t="s">
        <v>53</v>
      </c>
      <c r="X107" s="190" t="s">
        <v>53</v>
      </c>
      <c r="Y107" s="190" t="s">
        <v>53</v>
      </c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</row>
    <row r="108" spans="1:43" ht="18" customHeight="1" x14ac:dyDescent="0.25">
      <c r="A108" s="691" t="s">
        <v>449</v>
      </c>
      <c r="B108" s="692"/>
      <c r="C108" s="468">
        <v>3</v>
      </c>
      <c r="D108" s="468"/>
      <c r="E108" s="468">
        <v>2</v>
      </c>
      <c r="F108" s="468"/>
      <c r="G108" s="261">
        <v>2</v>
      </c>
      <c r="H108" s="261" t="s">
        <v>53</v>
      </c>
      <c r="I108" s="261" t="s">
        <v>53</v>
      </c>
      <c r="J108" s="261" t="s">
        <v>53</v>
      </c>
      <c r="K108" s="155" t="s">
        <v>459</v>
      </c>
      <c r="L108" s="261" t="s">
        <v>53</v>
      </c>
      <c r="M108" s="261" t="s">
        <v>53</v>
      </c>
      <c r="N108" s="36"/>
      <c r="O108" s="691" t="s">
        <v>249</v>
      </c>
      <c r="P108" s="692"/>
      <c r="Q108" s="187">
        <v>3</v>
      </c>
      <c r="R108" s="187">
        <v>3</v>
      </c>
      <c r="S108" s="187">
        <v>4</v>
      </c>
      <c r="T108" s="277" t="s">
        <v>450</v>
      </c>
      <c r="U108" s="190" t="s">
        <v>53</v>
      </c>
      <c r="V108" s="190" t="s">
        <v>53</v>
      </c>
      <c r="W108" s="190" t="s">
        <v>53</v>
      </c>
      <c r="X108" s="190" t="s">
        <v>53</v>
      </c>
      <c r="Y108" s="190" t="s">
        <v>53</v>
      </c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</row>
    <row r="109" spans="1:43" ht="18" customHeight="1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691" t="s">
        <v>449</v>
      </c>
      <c r="P109" s="692"/>
      <c r="Q109" s="190">
        <v>4</v>
      </c>
      <c r="R109" s="187">
        <v>3</v>
      </c>
      <c r="S109" s="187">
        <v>3</v>
      </c>
      <c r="T109" s="190" t="s">
        <v>53</v>
      </c>
      <c r="U109" s="190" t="s">
        <v>53</v>
      </c>
      <c r="V109" s="190" t="s">
        <v>53</v>
      </c>
      <c r="W109" s="190" t="s">
        <v>53</v>
      </c>
      <c r="X109" s="190" t="s">
        <v>53</v>
      </c>
      <c r="Y109" s="155" t="s">
        <v>459</v>
      </c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</row>
    <row r="110" spans="1:43" ht="30" customHeight="1" x14ac:dyDescent="0.25">
      <c r="A110" s="695" t="s">
        <v>630</v>
      </c>
      <c r="B110" s="696"/>
      <c r="C110" s="710" t="s">
        <v>437</v>
      </c>
      <c r="D110" s="711"/>
      <c r="E110" s="710" t="s">
        <v>439</v>
      </c>
      <c r="F110" s="711"/>
      <c r="G110" s="701" t="s">
        <v>438</v>
      </c>
      <c r="H110" s="691" t="s">
        <v>440</v>
      </c>
      <c r="I110" s="692"/>
      <c r="J110" s="691" t="s">
        <v>441</v>
      </c>
      <c r="K110" s="692"/>
      <c r="L110" s="691" t="s">
        <v>442</v>
      </c>
      <c r="M110" s="692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</row>
    <row r="111" spans="1:43" ht="31.5" customHeight="1" x14ac:dyDescent="0.25">
      <c r="A111" s="697"/>
      <c r="B111" s="698"/>
      <c r="C111" s="712"/>
      <c r="D111" s="713"/>
      <c r="E111" s="712"/>
      <c r="F111" s="713"/>
      <c r="G111" s="703"/>
      <c r="H111" s="154" t="s">
        <v>632</v>
      </c>
      <c r="I111" s="152" t="s">
        <v>633</v>
      </c>
      <c r="J111" s="154" t="s">
        <v>634</v>
      </c>
      <c r="K111" s="152" t="s">
        <v>635</v>
      </c>
      <c r="L111" s="154" t="s">
        <v>636</v>
      </c>
      <c r="M111" s="152" t="s">
        <v>637</v>
      </c>
      <c r="N111" s="36"/>
      <c r="O111" s="695" t="s">
        <v>669</v>
      </c>
      <c r="P111" s="696"/>
      <c r="Q111" s="701" t="s">
        <v>437</v>
      </c>
      <c r="R111" s="701" t="s">
        <v>439</v>
      </c>
      <c r="S111" s="701" t="s">
        <v>438</v>
      </c>
      <c r="T111" s="710" t="s">
        <v>440</v>
      </c>
      <c r="U111" s="711"/>
      <c r="V111" s="691" t="s">
        <v>441</v>
      </c>
      <c r="W111" s="692"/>
      <c r="X111" s="691" t="s">
        <v>442</v>
      </c>
      <c r="Y111" s="692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</row>
    <row r="112" spans="1:43" ht="18" customHeight="1" x14ac:dyDescent="0.25">
      <c r="A112" s="542" t="s">
        <v>248</v>
      </c>
      <c r="B112" s="542"/>
      <c r="C112" s="708"/>
      <c r="D112" s="709"/>
      <c r="E112" s="708"/>
      <c r="F112" s="709"/>
      <c r="G112" s="212"/>
      <c r="H112" s="211"/>
      <c r="I112" s="213"/>
      <c r="J112" s="211"/>
      <c r="K112" s="213"/>
      <c r="L112" s="211"/>
      <c r="M112" s="213"/>
      <c r="N112" s="36"/>
      <c r="O112" s="697"/>
      <c r="P112" s="698"/>
      <c r="Q112" s="703"/>
      <c r="R112" s="703"/>
      <c r="S112" s="703"/>
      <c r="T112" s="712"/>
      <c r="U112" s="713"/>
      <c r="V112" s="154" t="s">
        <v>466</v>
      </c>
      <c r="W112" s="152" t="s">
        <v>673</v>
      </c>
      <c r="X112" s="154" t="s">
        <v>674</v>
      </c>
      <c r="Y112" s="152" t="s">
        <v>672</v>
      </c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</row>
    <row r="113" spans="1:43" ht="18" customHeight="1" x14ac:dyDescent="0.25">
      <c r="A113" s="542" t="s">
        <v>247</v>
      </c>
      <c r="B113" s="542"/>
      <c r="C113" s="469" t="str">
        <f>IF(AND(SUM(Skills!$G$11+Skills!$H$11)&gt;=9,SUM(Skills!$G$31+Skills!$H$31)&gt;=4,General!Y7=General!AH10),"Yes","No")</f>
        <v>No</v>
      </c>
      <c r="D113" s="470"/>
      <c r="E113" s="469" t="str">
        <f>IF(AND(SUM(Skills!$G$11+Skills!$H$11)&gt;=11,SUM(Skills!$G$31+Skills!$H$31)&gt;=6,General!Y7=General!AH10),"Yes","No")</f>
        <v>No</v>
      </c>
      <c r="F113" s="470"/>
      <c r="G113" s="198" t="str">
        <f>IF(AND(SUM(Skills!$G$11+Skills!$H$11)&gt;=13,SUM(Skills!$G$31+Skills!$H$31)&gt;=8,General!Y7=General!AH10),"Yes","No")</f>
        <v>No</v>
      </c>
      <c r="H113" s="198" t="str">
        <f>IF(AND(SUM(Skills!$G$11+Skills!$H$11)&gt;=15,SUM(Skills!$G$31+Skills!$H$31)&gt;=10,General!Y7=General!AH10),"Yes","No")</f>
        <v>No</v>
      </c>
      <c r="I113" s="198" t="str">
        <f>IF(AND(SUM(Skills!$G$11+Skills!$H$11)&gt;=15,SUM(Skills!$G$31+Skills!$H$31)&gt;=10,General!Y7=General!AH10),"Yes","No")</f>
        <v>No</v>
      </c>
      <c r="J113" s="198" t="str">
        <f>IF(AND(SUM(Skills!$G$11+Skills!$H$11)&gt;=17,SUM(Skills!$G$31+Skills!$H$31)&gt;=12,General!Y7=General!AH10),"Yes","No")</f>
        <v>No</v>
      </c>
      <c r="K113" s="198" t="str">
        <f>IF(AND(SUM(Skills!$G$11+Skills!$H$11)&gt;=17,SUM(Skills!$G$31+Skills!$H$31)&gt;=12,General!Y7=General!AH10),"Yes","No")</f>
        <v>No</v>
      </c>
      <c r="L113" s="198" t="str">
        <f>IF(AND(SUM(Skills!$G$11+Skills!$H$11)&gt;=19,SUM(Skills!$G$31+Skills!$H$31)&gt;=14,General!Y7=General!AH10),"Yes","No")</f>
        <v>No</v>
      </c>
      <c r="M113" s="198" t="str">
        <f>IF(AND(SUM(Skills!$G$11+Skills!$H$11)&gt;=19,SUM(Skills!$G$31+Skills!$H$31)&gt;=14,General!Y7=General!AH10),"Yes","No")</f>
        <v>No</v>
      </c>
      <c r="N113" s="36"/>
      <c r="O113" s="542" t="s">
        <v>248</v>
      </c>
      <c r="P113" s="542"/>
      <c r="Q113" s="101"/>
      <c r="R113" s="348"/>
      <c r="S113" s="348"/>
      <c r="T113" s="708"/>
      <c r="U113" s="709"/>
      <c r="V113" s="184"/>
      <c r="W113" s="349"/>
      <c r="X113" s="184"/>
      <c r="Y113" s="349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</row>
    <row r="114" spans="1:43" ht="18" customHeight="1" x14ac:dyDescent="0.25">
      <c r="A114" s="691" t="s">
        <v>582</v>
      </c>
      <c r="B114" s="692"/>
      <c r="C114" s="469">
        <v>10</v>
      </c>
      <c r="D114" s="470"/>
      <c r="E114" s="469">
        <v>12</v>
      </c>
      <c r="F114" s="470"/>
      <c r="G114" s="198">
        <v>12</v>
      </c>
      <c r="H114" s="155" t="s">
        <v>517</v>
      </c>
      <c r="I114" s="155" t="s">
        <v>517</v>
      </c>
      <c r="J114" s="155" t="s">
        <v>517</v>
      </c>
      <c r="K114" s="155" t="s">
        <v>517</v>
      </c>
      <c r="L114" s="155" t="s">
        <v>517</v>
      </c>
      <c r="M114" s="155" t="s">
        <v>517</v>
      </c>
      <c r="N114" s="36"/>
      <c r="O114" s="542" t="s">
        <v>247</v>
      </c>
      <c r="P114" s="542"/>
      <c r="Q114" s="190" t="str">
        <f>IF(SUM(Skills!$G$11+Skills!$H$11)&gt;=3,"Yes","No")</f>
        <v>No</v>
      </c>
      <c r="R114" s="190" t="str">
        <f>IF(SUM(Skills!$G$11+Skills!$H$11)&gt;=5,"Yes","No")</f>
        <v>No</v>
      </c>
      <c r="S114" s="187" t="str">
        <f>IF(SUM(Skills!$G$11+Skills!$H$11)&gt;=7,"Yes","No")</f>
        <v>No</v>
      </c>
      <c r="T114" s="469" t="str">
        <f>IF(SUM(Skills!$G$11+Skills!$H$11)&gt;=9,"Yes","No")</f>
        <v>No</v>
      </c>
      <c r="U114" s="470"/>
      <c r="V114" s="187" t="str">
        <f>IF(SUM(Skills!$G$11+Skills!$H$11)&gt;=11,"Yes","No")</f>
        <v>No</v>
      </c>
      <c r="W114" s="187" t="str">
        <f>IF(SUM(Skills!$G$11+Skills!$H$11)&gt;=11,"Yes","No")</f>
        <v>No</v>
      </c>
      <c r="X114" s="187" t="str">
        <f>IF(SUM(Skills!$G$11+Skills!$H$11)&gt;=13,"Yes","No")</f>
        <v>No</v>
      </c>
      <c r="Y114" s="190" t="str">
        <f>IF(SUM(Skills!$G$11+Skills!$H$11)&gt;=13,"Yes","No")</f>
        <v>No</v>
      </c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</row>
    <row r="115" spans="1:43" ht="18" customHeight="1" x14ac:dyDescent="0.25">
      <c r="A115" s="691" t="s">
        <v>474</v>
      </c>
      <c r="B115" s="692"/>
      <c r="C115" s="469">
        <f>10+ROUNDDOWN((Skills!$G$11+Skills!$H$11)/2,0)+General!$N$16</f>
        <v>5</v>
      </c>
      <c r="D115" s="470"/>
      <c r="E115" s="469">
        <f>10+ROUNDDOWN((Skills!$G$11+Skills!$H$11)/2,0)+General!$N$16</f>
        <v>5</v>
      </c>
      <c r="F115" s="470"/>
      <c r="G115" s="215">
        <f>10+ROUNDDOWN((Skills!$G$11+Skills!$H$11)/2,0)+General!$N$16</f>
        <v>5</v>
      </c>
      <c r="H115" s="215">
        <f>10+ROUNDDOWN((Skills!$G$11+Skills!$H$11)/2,0)+General!$N$16</f>
        <v>5</v>
      </c>
      <c r="I115" s="215">
        <f>10+ROUNDDOWN((Skills!$G$11+Skills!$H$11)/2,0)+General!$N$16</f>
        <v>5</v>
      </c>
      <c r="J115" s="215">
        <f>10+ROUNDDOWN((Skills!$G$11+Skills!$H$11)/2,0)+General!$N$16</f>
        <v>5</v>
      </c>
      <c r="K115" s="215">
        <f>10+ROUNDDOWN((Skills!$G$11+Skills!$H$11)/2,0)+General!$N$16</f>
        <v>5</v>
      </c>
      <c r="L115" s="215">
        <f>10+ROUNDDOWN((Skills!$G$11+Skills!$H$11)/2,0)+General!$N$16</f>
        <v>5</v>
      </c>
      <c r="M115" s="198">
        <f>10+ROUNDDOWN((Skills!$G$11+Skills!$H$11)/2,0)+General!$N$16</f>
        <v>5</v>
      </c>
      <c r="N115" s="36"/>
      <c r="O115" s="691" t="s">
        <v>582</v>
      </c>
      <c r="P115" s="692"/>
      <c r="Q115" s="190">
        <v>1</v>
      </c>
      <c r="R115" s="190">
        <v>1</v>
      </c>
      <c r="S115" s="190">
        <v>1</v>
      </c>
      <c r="T115" s="469">
        <v>2</v>
      </c>
      <c r="U115" s="470"/>
      <c r="V115" s="155" t="s">
        <v>450</v>
      </c>
      <c r="W115" s="363" t="s">
        <v>517</v>
      </c>
      <c r="X115" s="155" t="s">
        <v>450</v>
      </c>
      <c r="Y115" s="190" t="s">
        <v>53</v>
      </c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</row>
    <row r="116" spans="1:43" ht="18" customHeight="1" x14ac:dyDescent="0.25">
      <c r="A116" s="691" t="s">
        <v>249</v>
      </c>
      <c r="B116" s="692"/>
      <c r="C116" s="536">
        <v>1</v>
      </c>
      <c r="D116" s="538"/>
      <c r="E116" s="536">
        <v>2</v>
      </c>
      <c r="F116" s="538"/>
      <c r="G116" s="215">
        <v>3</v>
      </c>
      <c r="H116" s="216" t="s">
        <v>450</v>
      </c>
      <c r="I116" s="198" t="s">
        <v>53</v>
      </c>
      <c r="J116" s="216" t="s">
        <v>450</v>
      </c>
      <c r="K116" s="198" t="s">
        <v>53</v>
      </c>
      <c r="L116" s="198" t="s">
        <v>53</v>
      </c>
      <c r="M116" s="198" t="s">
        <v>53</v>
      </c>
      <c r="N116" s="36"/>
      <c r="O116" s="691" t="s">
        <v>474</v>
      </c>
      <c r="P116" s="692"/>
      <c r="Q116" s="187">
        <f>10+ROUNDDOWN((Skills!$G$11+Skills!$H$11)/2,0)+General!$N$16</f>
        <v>5</v>
      </c>
      <c r="R116" s="187">
        <f>10+ROUNDDOWN((Skills!$G$11+Skills!$H$11)/2,0)+General!$N$16</f>
        <v>5</v>
      </c>
      <c r="S116" s="187">
        <f>11+ROUNDDOWN((Skills!$G$11+Skills!$H$11)/2,0)+General!$N$16</f>
        <v>6</v>
      </c>
      <c r="T116" s="469">
        <f>12+ROUNDDOWN((Skills!$G$11+Skills!$H$11)/2,0)+General!$N$16</f>
        <v>7</v>
      </c>
      <c r="U116" s="470"/>
      <c r="V116" s="362" t="s">
        <v>53</v>
      </c>
      <c r="W116" s="363" t="s">
        <v>517</v>
      </c>
      <c r="X116" s="362" t="s">
        <v>53</v>
      </c>
      <c r="Y116" s="362" t="s">
        <v>53</v>
      </c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</row>
    <row r="117" spans="1:43" ht="18" customHeight="1" x14ac:dyDescent="0.25">
      <c r="A117" s="691" t="s">
        <v>449</v>
      </c>
      <c r="B117" s="692"/>
      <c r="C117" s="469">
        <v>3</v>
      </c>
      <c r="D117" s="470"/>
      <c r="E117" s="469">
        <v>3</v>
      </c>
      <c r="F117" s="470"/>
      <c r="G117" s="215">
        <v>3</v>
      </c>
      <c r="H117" s="198" t="s">
        <v>53</v>
      </c>
      <c r="I117" s="198" t="s">
        <v>53</v>
      </c>
      <c r="J117" s="198" t="s">
        <v>53</v>
      </c>
      <c r="K117" s="198" t="s">
        <v>53</v>
      </c>
      <c r="L117" s="198" t="s">
        <v>53</v>
      </c>
      <c r="M117" s="198" t="s">
        <v>53</v>
      </c>
      <c r="N117" s="36"/>
      <c r="O117" s="691" t="s">
        <v>467</v>
      </c>
      <c r="P117" s="692"/>
      <c r="Q117" s="187" t="s">
        <v>510</v>
      </c>
      <c r="R117" s="187" t="s">
        <v>510</v>
      </c>
      <c r="S117" s="187" t="s">
        <v>510</v>
      </c>
      <c r="T117" s="469" t="s">
        <v>475</v>
      </c>
      <c r="U117" s="470"/>
      <c r="V117" s="190" t="s">
        <v>53</v>
      </c>
      <c r="W117" s="155" t="s">
        <v>470</v>
      </c>
      <c r="X117" s="190" t="s">
        <v>53</v>
      </c>
      <c r="Y117" s="190" t="s">
        <v>53</v>
      </c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</row>
    <row r="118" spans="1:43" ht="18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691" t="s">
        <v>670</v>
      </c>
      <c r="P118" s="692"/>
      <c r="Q118" s="190">
        <v>10</v>
      </c>
      <c r="R118" s="187">
        <v>15</v>
      </c>
      <c r="S118" s="187">
        <v>15</v>
      </c>
      <c r="T118" s="469">
        <v>20</v>
      </c>
      <c r="U118" s="470"/>
      <c r="V118" s="190" t="s">
        <v>53</v>
      </c>
      <c r="W118" s="190" t="s">
        <v>53</v>
      </c>
      <c r="X118" s="190" t="s">
        <v>53</v>
      </c>
      <c r="Y118" s="155" t="s">
        <v>547</v>
      </c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</row>
    <row r="119" spans="1:43" ht="30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691" t="s">
        <v>449</v>
      </c>
      <c r="P119" s="692"/>
      <c r="Q119" s="190">
        <v>2</v>
      </c>
      <c r="R119" s="187">
        <v>2</v>
      </c>
      <c r="S119" s="187">
        <v>1</v>
      </c>
      <c r="T119" s="469" t="s">
        <v>53</v>
      </c>
      <c r="U119" s="470"/>
      <c r="V119" s="190" t="s">
        <v>53</v>
      </c>
      <c r="W119" s="190" t="s">
        <v>53</v>
      </c>
      <c r="X119" s="190" t="s">
        <v>53</v>
      </c>
      <c r="Y119" s="190" t="s">
        <v>53</v>
      </c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</row>
    <row r="120" spans="1:43" ht="18" customHeight="1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</row>
    <row r="121" spans="1:43" ht="18" customHeight="1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695" t="s">
        <v>763</v>
      </c>
      <c r="P121" s="696"/>
      <c r="Q121" s="701" t="s">
        <v>437</v>
      </c>
      <c r="R121" s="701" t="s">
        <v>439</v>
      </c>
      <c r="S121" s="701" t="s">
        <v>438</v>
      </c>
      <c r="T121" s="691" t="s">
        <v>440</v>
      </c>
      <c r="U121" s="692"/>
      <c r="V121" s="691" t="s">
        <v>441</v>
      </c>
      <c r="W121" s="692"/>
      <c r="X121" s="691" t="s">
        <v>442</v>
      </c>
      <c r="Y121" s="692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</row>
    <row r="122" spans="1:43" ht="18" customHeight="1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697"/>
      <c r="P122" s="698"/>
      <c r="Q122" s="703"/>
      <c r="R122" s="703"/>
      <c r="S122" s="703"/>
      <c r="T122" s="154" t="s">
        <v>467</v>
      </c>
      <c r="U122" s="152" t="s">
        <v>671</v>
      </c>
      <c r="V122" s="154" t="s">
        <v>511</v>
      </c>
      <c r="W122" s="152" t="s">
        <v>648</v>
      </c>
      <c r="X122" s="154" t="s">
        <v>537</v>
      </c>
      <c r="Y122" s="152" t="s">
        <v>453</v>
      </c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</row>
    <row r="123" spans="1:43" ht="18" customHeight="1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542" t="s">
        <v>248</v>
      </c>
      <c r="P123" s="542"/>
      <c r="Q123" s="101"/>
      <c r="R123" s="101"/>
      <c r="S123" s="212"/>
      <c r="T123" s="211"/>
      <c r="U123" s="213"/>
      <c r="V123" s="211"/>
      <c r="W123" s="213"/>
      <c r="X123" s="211"/>
      <c r="Y123" s="213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</row>
    <row r="124" spans="1:43" ht="18" customHeight="1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542" t="s">
        <v>247</v>
      </c>
      <c r="P124" s="542"/>
      <c r="Q124" s="198" t="str">
        <f>IF(SUM(Skills!$G$11+Skills!$H$11)&gt;=3,"Yes","No")</f>
        <v>No</v>
      </c>
      <c r="R124" s="198" t="str">
        <f>IF(SUM(Skills!$G$11+Skills!$H$11)&gt;=5,"Yes","No")</f>
        <v>No</v>
      </c>
      <c r="S124" s="215" t="str">
        <f>IF(SUM(Skills!$G$11+Skills!$H$11)&gt;=7,"Yes","No")</f>
        <v>No</v>
      </c>
      <c r="T124" s="215" t="str">
        <f>IF(SUM(Skills!$G$11+Skills!$H$11)&gt;=9,"Yes","No")</f>
        <v>No</v>
      </c>
      <c r="U124" s="215" t="str">
        <f>IF(SUM(Skills!$G$11+Skills!$H$11)&gt;=9,"Yes","No")</f>
        <v>No</v>
      </c>
      <c r="V124" s="215" t="str">
        <f>IF(SUM(Skills!$G$11+Skills!$H$11)&gt;=11,"Yes","No")</f>
        <v>No</v>
      </c>
      <c r="W124" s="215" t="str">
        <f>IF(SUM(Skills!$G$11+Skills!$H$11)&gt;=11,"Yes","No")</f>
        <v>No</v>
      </c>
      <c r="X124" s="215" t="str">
        <f>IF(SUM(Skills!$G$11+Skills!$H$11)&gt;=13,"Yes","No")</f>
        <v>No</v>
      </c>
      <c r="Y124" s="198" t="str">
        <f>IF(SUM(Skills!$G$11+Skills!$H$11)&gt;=13,"Yes","No")</f>
        <v>No</v>
      </c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</row>
    <row r="125" spans="1:43" ht="18" customHeight="1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691" t="s">
        <v>582</v>
      </c>
      <c r="P125" s="692"/>
      <c r="Q125" s="198">
        <v>3</v>
      </c>
      <c r="R125" s="198">
        <v>3</v>
      </c>
      <c r="S125" s="198">
        <v>3</v>
      </c>
      <c r="T125" s="198" t="s">
        <v>53</v>
      </c>
      <c r="U125" s="198" t="s">
        <v>53</v>
      </c>
      <c r="V125" s="155" t="s">
        <v>450</v>
      </c>
      <c r="W125" s="155" t="s">
        <v>450</v>
      </c>
      <c r="X125" s="198" t="s">
        <v>53</v>
      </c>
      <c r="Y125" s="198" t="s">
        <v>53</v>
      </c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</row>
    <row r="126" spans="1:43" ht="18" customHeight="1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691" t="s">
        <v>467</v>
      </c>
      <c r="P126" s="692"/>
      <c r="Q126" s="198" t="str">
        <f>"2d8+"&amp;1*General!N16</f>
        <v>2d8+-5</v>
      </c>
      <c r="R126" s="198" t="str">
        <f>"2d8+"&amp;1*General!N16</f>
        <v>2d8+-5</v>
      </c>
      <c r="S126" s="215" t="str">
        <f>"3d8+"&amp;1*General!N16</f>
        <v>3d8+-5</v>
      </c>
      <c r="T126" s="466" t="s">
        <v>661</v>
      </c>
      <c r="U126" s="198" t="s">
        <v>53</v>
      </c>
      <c r="V126" s="466" t="s">
        <v>728</v>
      </c>
      <c r="W126" s="198" t="s">
        <v>53</v>
      </c>
      <c r="X126" s="261" t="s">
        <v>1076</v>
      </c>
      <c r="Y126" s="198" t="s">
        <v>53</v>
      </c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</row>
    <row r="127" spans="1:43" ht="18" customHeight="1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542" t="s">
        <v>574</v>
      </c>
      <c r="P127" s="542"/>
      <c r="Q127" s="198">
        <v>5</v>
      </c>
      <c r="R127" s="198">
        <v>5</v>
      </c>
      <c r="S127" s="198">
        <v>5</v>
      </c>
      <c r="T127" s="198" t="s">
        <v>53</v>
      </c>
      <c r="U127" s="183">
        <v>10</v>
      </c>
      <c r="V127" s="198" t="s">
        <v>53</v>
      </c>
      <c r="W127" s="198" t="s">
        <v>53</v>
      </c>
      <c r="X127" s="198" t="s">
        <v>53</v>
      </c>
      <c r="Y127" s="198" t="s">
        <v>53</v>
      </c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</row>
    <row r="128" spans="1:43" ht="18" customHeight="1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691" t="s">
        <v>449</v>
      </c>
      <c r="P128" s="692"/>
      <c r="Q128" s="198">
        <v>3</v>
      </c>
      <c r="R128" s="198">
        <v>2</v>
      </c>
      <c r="S128" s="215">
        <v>2</v>
      </c>
      <c r="T128" s="198" t="s">
        <v>53</v>
      </c>
      <c r="U128" s="198" t="s">
        <v>53</v>
      </c>
      <c r="V128" s="198" t="s">
        <v>53</v>
      </c>
      <c r="W128" s="198" t="s">
        <v>53</v>
      </c>
      <c r="X128" s="198" t="s">
        <v>53</v>
      </c>
      <c r="Y128" s="155" t="s">
        <v>459</v>
      </c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</row>
    <row r="129" spans="1:43" ht="18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</row>
    <row r="130" spans="1:43" ht="18" customHeight="1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</row>
    <row r="131" spans="1:43" ht="18" customHeight="1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</row>
    <row r="132" spans="1:43" ht="18" customHeight="1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</row>
    <row r="133" spans="1:43" ht="18" customHeight="1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</row>
    <row r="134" spans="1:43" ht="18" customHeight="1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</row>
    <row r="135" spans="1:43" ht="18" customHeight="1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</row>
    <row r="136" spans="1:43" ht="18" customHeight="1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</row>
    <row r="137" spans="1:43" ht="18" customHeight="1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</row>
    <row r="138" spans="1:43" ht="18" customHeight="1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</row>
    <row r="139" spans="1:43" ht="18" customHeight="1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</row>
    <row r="140" spans="1:43" ht="18" customHeight="1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</row>
    <row r="141" spans="1:43" ht="18" customHeight="1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</row>
    <row r="142" spans="1:43" ht="18" customHeight="1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</row>
    <row r="143" spans="1:43" ht="18" customHeight="1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</row>
    <row r="144" spans="1:43" ht="18" customHeight="1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</row>
    <row r="145" spans="1:43" ht="18" customHeight="1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</row>
    <row r="146" spans="1:43" ht="18" customHeight="1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</row>
    <row r="147" spans="1:43" ht="18" customHeight="1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</row>
    <row r="148" spans="1:43" ht="18" customHeight="1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</row>
    <row r="149" spans="1:43" ht="18" customHeight="1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</row>
    <row r="150" spans="1:43" ht="18" customHeight="1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</row>
    <row r="151" spans="1:43" ht="18" customHeight="1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</row>
    <row r="152" spans="1:43" ht="18" customHeight="1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</row>
    <row r="153" spans="1:43" ht="18" customHeight="1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</row>
    <row r="154" spans="1:43" ht="18" customHeight="1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</row>
    <row r="155" spans="1:43" ht="18" customHeight="1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</row>
    <row r="156" spans="1:43" ht="18" customHeight="1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</row>
    <row r="157" spans="1:43" ht="18" customHeight="1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</row>
    <row r="158" spans="1:43" ht="18" customHeight="1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</row>
    <row r="159" spans="1:43" ht="18" customHeight="1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</row>
    <row r="160" spans="1:43" ht="18" customHeight="1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</row>
    <row r="161" spans="1:43" ht="18" customHeight="1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</row>
    <row r="162" spans="1:43" ht="18" customHeight="1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</row>
    <row r="163" spans="1:43" ht="18" customHeight="1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</row>
    <row r="164" spans="1:43" ht="18" customHeight="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</row>
    <row r="165" spans="1:43" ht="18" customHeight="1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</row>
    <row r="166" spans="1:43" ht="18" customHeight="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</row>
    <row r="167" spans="1:43" ht="18" customHeight="1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</row>
    <row r="168" spans="1:43" ht="18" customHeight="1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</row>
    <row r="169" spans="1:43" ht="18" customHeight="1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</row>
    <row r="170" spans="1:43" ht="18" customHeigh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</row>
    <row r="171" spans="1:43" ht="18" customHeight="1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</row>
    <row r="172" spans="1:43" ht="18" customHeight="1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</row>
    <row r="173" spans="1:43" ht="18" customHeight="1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</row>
    <row r="174" spans="1:43" ht="18" customHeight="1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</row>
    <row r="175" spans="1:43" ht="18" customHeight="1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</row>
    <row r="176" spans="1:43" ht="18" customHeight="1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</row>
    <row r="177" spans="1:43" ht="18" customHeight="1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</row>
    <row r="178" spans="1:43" ht="18" customHeight="1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</row>
    <row r="179" spans="1:43" ht="18" customHeight="1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</row>
    <row r="180" spans="1:43" ht="18" customHeight="1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</row>
    <row r="181" spans="1:43" ht="18" customHeight="1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</row>
    <row r="182" spans="1:43" ht="18" customHeight="1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</row>
    <row r="183" spans="1:43" ht="18" customHeight="1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</row>
    <row r="184" spans="1:43" ht="18" customHeight="1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</row>
    <row r="185" spans="1:43" ht="18" customHeight="1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</row>
    <row r="186" spans="1:43" ht="18" customHeight="1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</row>
    <row r="187" spans="1:43" ht="18" customHeight="1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</row>
    <row r="188" spans="1:43" ht="18" customHeight="1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</row>
    <row r="189" spans="1:43" ht="18" customHeight="1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</row>
    <row r="190" spans="1:43" ht="18" customHeight="1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</row>
    <row r="191" spans="1:43" ht="18" customHeight="1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</row>
    <row r="192" spans="1:43" ht="18" customHeight="1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</row>
    <row r="193" spans="1:43" ht="18" customHeight="1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</row>
    <row r="194" spans="1:43" ht="18" customHeight="1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</row>
    <row r="195" spans="1:43" ht="18" customHeight="1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</row>
    <row r="196" spans="1:43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</row>
  </sheetData>
  <mergeCells count="518"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C6:D7"/>
    <mergeCell ref="E6:F7"/>
    <mergeCell ref="G6:G7"/>
    <mergeCell ref="H6:I6"/>
    <mergeCell ref="J6:K6"/>
    <mergeCell ref="L6:M6"/>
    <mergeCell ref="A8:B8"/>
    <mergeCell ref="C8:D8"/>
    <mergeCell ref="E8:F8"/>
    <mergeCell ref="O6:P7"/>
    <mergeCell ref="Q6:Q7"/>
    <mergeCell ref="R6:R7"/>
    <mergeCell ref="S6:S7"/>
    <mergeCell ref="T6:U6"/>
    <mergeCell ref="V6:W6"/>
    <mergeCell ref="X6:Y6"/>
    <mergeCell ref="O11:P11"/>
    <mergeCell ref="O8:P8"/>
    <mergeCell ref="O9:P9"/>
    <mergeCell ref="O10:P10"/>
    <mergeCell ref="A103:B103"/>
    <mergeCell ref="A104:B104"/>
    <mergeCell ref="A105:B105"/>
    <mergeCell ref="A106:B106"/>
    <mergeCell ref="A107:B107"/>
    <mergeCell ref="A108:B108"/>
    <mergeCell ref="C105:D105"/>
    <mergeCell ref="E105:F105"/>
    <mergeCell ref="A100:B101"/>
    <mergeCell ref="A102:B102"/>
    <mergeCell ref="C108:D108"/>
    <mergeCell ref="C102:D102"/>
    <mergeCell ref="E102:F102"/>
    <mergeCell ref="C103:D103"/>
    <mergeCell ref="E103:F103"/>
    <mergeCell ref="C104:D104"/>
    <mergeCell ref="E104:F104"/>
    <mergeCell ref="E108:F108"/>
    <mergeCell ref="C106:D106"/>
    <mergeCell ref="E106:F106"/>
    <mergeCell ref="C107:D107"/>
    <mergeCell ref="E107:F107"/>
    <mergeCell ref="O17:P18"/>
    <mergeCell ref="S17:S18"/>
    <mergeCell ref="T17:U17"/>
    <mergeCell ref="V17:W17"/>
    <mergeCell ref="X17:Y17"/>
    <mergeCell ref="O19:P19"/>
    <mergeCell ref="O25:P25"/>
    <mergeCell ref="O24:P24"/>
    <mergeCell ref="O20:P20"/>
    <mergeCell ref="O21:P21"/>
    <mergeCell ref="O22:P22"/>
    <mergeCell ref="O23:P23"/>
    <mergeCell ref="Q17:Q18"/>
    <mergeCell ref="R17:R18"/>
    <mergeCell ref="J81:K81"/>
    <mergeCell ref="L81:M81"/>
    <mergeCell ref="C100:D101"/>
    <mergeCell ref="E100:F101"/>
    <mergeCell ref="H98:I98"/>
    <mergeCell ref="H97:I97"/>
    <mergeCell ref="G91:G92"/>
    <mergeCell ref="H91:I92"/>
    <mergeCell ref="J91:K91"/>
    <mergeCell ref="E87:F87"/>
    <mergeCell ref="L100:M100"/>
    <mergeCell ref="H100:I100"/>
    <mergeCell ref="J100:K100"/>
    <mergeCell ref="G100:G101"/>
    <mergeCell ref="E83:F83"/>
    <mergeCell ref="G81:G82"/>
    <mergeCell ref="H81:I81"/>
    <mergeCell ref="H95:I95"/>
    <mergeCell ref="C96:D96"/>
    <mergeCell ref="E96:F96"/>
    <mergeCell ref="L91:M91"/>
    <mergeCell ref="A98:B98"/>
    <mergeCell ref="C98:D98"/>
    <mergeCell ref="E98:F98"/>
    <mergeCell ref="A97:B97"/>
    <mergeCell ref="C97:D97"/>
    <mergeCell ref="E97:F97"/>
    <mergeCell ref="C91:D92"/>
    <mergeCell ref="E91:F92"/>
    <mergeCell ref="A86:B86"/>
    <mergeCell ref="C86:D86"/>
    <mergeCell ref="E86:F86"/>
    <mergeCell ref="A87:B87"/>
    <mergeCell ref="C87:D87"/>
    <mergeCell ref="A88:B88"/>
    <mergeCell ref="C88:D88"/>
    <mergeCell ref="E88:F88"/>
    <mergeCell ref="A89:B89"/>
    <mergeCell ref="C89:D89"/>
    <mergeCell ref="E89:F89"/>
    <mergeCell ref="A91:B92"/>
    <mergeCell ref="A95:B95"/>
    <mergeCell ref="C95:D95"/>
    <mergeCell ref="E95:F95"/>
    <mergeCell ref="A96:B96"/>
    <mergeCell ref="V121:W121"/>
    <mergeCell ref="X121:Y121"/>
    <mergeCell ref="O69:P70"/>
    <mergeCell ref="Q69:Q70"/>
    <mergeCell ref="R69:R70"/>
    <mergeCell ref="S69:S70"/>
    <mergeCell ref="T69:U69"/>
    <mergeCell ref="V69:W69"/>
    <mergeCell ref="X69:Y69"/>
    <mergeCell ref="O71:P71"/>
    <mergeCell ref="O72:P72"/>
    <mergeCell ref="O73:P73"/>
    <mergeCell ref="O74:P74"/>
    <mergeCell ref="O75:P75"/>
    <mergeCell ref="O76:P76"/>
    <mergeCell ref="O77:P77"/>
    <mergeCell ref="O78:P78"/>
    <mergeCell ref="O121:P122"/>
    <mergeCell ref="T111:U112"/>
    <mergeCell ref="T113:U113"/>
    <mergeCell ref="O113:P113"/>
    <mergeCell ref="O109:P109"/>
    <mergeCell ref="O111:P112"/>
    <mergeCell ref="Q111:Q112"/>
    <mergeCell ref="O123:P123"/>
    <mergeCell ref="O124:P124"/>
    <mergeCell ref="O125:P125"/>
    <mergeCell ref="O126:P126"/>
    <mergeCell ref="O127:P127"/>
    <mergeCell ref="O128:P128"/>
    <mergeCell ref="Q121:Q122"/>
    <mergeCell ref="R121:R122"/>
    <mergeCell ref="T114:U114"/>
    <mergeCell ref="T116:U116"/>
    <mergeCell ref="T115:U115"/>
    <mergeCell ref="T117:U117"/>
    <mergeCell ref="T118:U118"/>
    <mergeCell ref="T119:U119"/>
    <mergeCell ref="O114:P114"/>
    <mergeCell ref="O115:P115"/>
    <mergeCell ref="O116:P116"/>
    <mergeCell ref="O117:P117"/>
    <mergeCell ref="O118:P118"/>
    <mergeCell ref="O119:P119"/>
    <mergeCell ref="S121:S122"/>
    <mergeCell ref="T121:U121"/>
    <mergeCell ref="A117:B117"/>
    <mergeCell ref="C117:D117"/>
    <mergeCell ref="E117:F117"/>
    <mergeCell ref="H110:I110"/>
    <mergeCell ref="E114:F114"/>
    <mergeCell ref="A115:B115"/>
    <mergeCell ref="C115:D115"/>
    <mergeCell ref="E115:F115"/>
    <mergeCell ref="A116:B116"/>
    <mergeCell ref="C116:D116"/>
    <mergeCell ref="E116:F116"/>
    <mergeCell ref="A110:B111"/>
    <mergeCell ref="C110:D111"/>
    <mergeCell ref="E110:F111"/>
    <mergeCell ref="G110:G111"/>
    <mergeCell ref="J110:K110"/>
    <mergeCell ref="L110:M110"/>
    <mergeCell ref="A112:B112"/>
    <mergeCell ref="C112:D112"/>
    <mergeCell ref="E112:F112"/>
    <mergeCell ref="A113:B113"/>
    <mergeCell ref="C113:D113"/>
    <mergeCell ref="E113:F113"/>
    <mergeCell ref="A114:B114"/>
    <mergeCell ref="C114:D114"/>
    <mergeCell ref="R111:R112"/>
    <mergeCell ref="S111:S112"/>
    <mergeCell ref="V111:W111"/>
    <mergeCell ref="X111:Y111"/>
    <mergeCell ref="S102:S103"/>
    <mergeCell ref="T102:U102"/>
    <mergeCell ref="V102:W102"/>
    <mergeCell ref="X102:Y102"/>
    <mergeCell ref="O104:P104"/>
    <mergeCell ref="O105:P105"/>
    <mergeCell ref="O106:P106"/>
    <mergeCell ref="O107:P107"/>
    <mergeCell ref="O108:P108"/>
    <mergeCell ref="O102:P103"/>
    <mergeCell ref="Q102:Q103"/>
    <mergeCell ref="R102:R103"/>
    <mergeCell ref="O94:P94"/>
    <mergeCell ref="O95:P95"/>
    <mergeCell ref="O96:P96"/>
    <mergeCell ref="O97:P97"/>
    <mergeCell ref="O98:P98"/>
    <mergeCell ref="O100:P100"/>
    <mergeCell ref="O99:P99"/>
    <mergeCell ref="O90:P91"/>
    <mergeCell ref="Q90:Q91"/>
    <mergeCell ref="O92:P92"/>
    <mergeCell ref="O93:P93"/>
    <mergeCell ref="T80:U80"/>
    <mergeCell ref="V80:W80"/>
    <mergeCell ref="X80:Y80"/>
    <mergeCell ref="O82:P82"/>
    <mergeCell ref="V90:W90"/>
    <mergeCell ref="X90:Y90"/>
    <mergeCell ref="S90:S91"/>
    <mergeCell ref="T90:U90"/>
    <mergeCell ref="O83:P83"/>
    <mergeCell ref="O84:P84"/>
    <mergeCell ref="O85:P85"/>
    <mergeCell ref="O86:P86"/>
    <mergeCell ref="O87:P87"/>
    <mergeCell ref="O88:P88"/>
    <mergeCell ref="O64:P64"/>
    <mergeCell ref="O65:P65"/>
    <mergeCell ref="O66:P66"/>
    <mergeCell ref="R90:R91"/>
    <mergeCell ref="O67:P67"/>
    <mergeCell ref="O80:P81"/>
    <mergeCell ref="Q80:Q81"/>
    <mergeCell ref="R80:R81"/>
    <mergeCell ref="S80:S81"/>
    <mergeCell ref="Q58:Q59"/>
    <mergeCell ref="R58:R59"/>
    <mergeCell ref="S58:S59"/>
    <mergeCell ref="T58:U58"/>
    <mergeCell ref="V58:W58"/>
    <mergeCell ref="X58:Y58"/>
    <mergeCell ref="O60:P60"/>
    <mergeCell ref="O61:P61"/>
    <mergeCell ref="O62:P62"/>
    <mergeCell ref="O58:P59"/>
    <mergeCell ref="T34:U34"/>
    <mergeCell ref="T29:U29"/>
    <mergeCell ref="T27:U28"/>
    <mergeCell ref="Q48:Q49"/>
    <mergeCell ref="R48:R49"/>
    <mergeCell ref="S48:S49"/>
    <mergeCell ref="T48:U48"/>
    <mergeCell ref="V48:W48"/>
    <mergeCell ref="X48:Y48"/>
    <mergeCell ref="T32:U32"/>
    <mergeCell ref="T33:U33"/>
    <mergeCell ref="V37:W37"/>
    <mergeCell ref="X37:Y37"/>
    <mergeCell ref="T37:U37"/>
    <mergeCell ref="V27:W27"/>
    <mergeCell ref="X27:Y27"/>
    <mergeCell ref="T35:U35"/>
    <mergeCell ref="T30:U30"/>
    <mergeCell ref="T31:U31"/>
    <mergeCell ref="Q27:Q28"/>
    <mergeCell ref="R27:R28"/>
    <mergeCell ref="S27:S28"/>
    <mergeCell ref="O37:P38"/>
    <mergeCell ref="Q37:Q38"/>
    <mergeCell ref="R37:R38"/>
    <mergeCell ref="S37:S38"/>
    <mergeCell ref="O43:P43"/>
    <mergeCell ref="O39:P39"/>
    <mergeCell ref="O40:P40"/>
    <mergeCell ref="O41:P41"/>
    <mergeCell ref="O42:P42"/>
    <mergeCell ref="O29:P29"/>
    <mergeCell ref="O30:P30"/>
    <mergeCell ref="O31:P31"/>
    <mergeCell ref="O32:P32"/>
    <mergeCell ref="O33:P33"/>
    <mergeCell ref="O34:P34"/>
    <mergeCell ref="O35:P35"/>
    <mergeCell ref="A93:B93"/>
    <mergeCell ref="C93:D93"/>
    <mergeCell ref="E93:F93"/>
    <mergeCell ref="H93:I93"/>
    <mergeCell ref="A79:B79"/>
    <mergeCell ref="C79:D79"/>
    <mergeCell ref="E79:F79"/>
    <mergeCell ref="A81:B82"/>
    <mergeCell ref="C81:D82"/>
    <mergeCell ref="E81:F82"/>
    <mergeCell ref="A83:B83"/>
    <mergeCell ref="C83:D83"/>
    <mergeCell ref="A76:B76"/>
    <mergeCell ref="C76:D76"/>
    <mergeCell ref="E76:F76"/>
    <mergeCell ref="A77:B77"/>
    <mergeCell ref="C77:D77"/>
    <mergeCell ref="A94:B94"/>
    <mergeCell ref="C94:D94"/>
    <mergeCell ref="E94:F94"/>
    <mergeCell ref="H94:I94"/>
    <mergeCell ref="H96:I96"/>
    <mergeCell ref="A84:B84"/>
    <mergeCell ref="C84:D84"/>
    <mergeCell ref="E84:F84"/>
    <mergeCell ref="A85:B85"/>
    <mergeCell ref="C85:D85"/>
    <mergeCell ref="E85:F85"/>
    <mergeCell ref="E77:F77"/>
    <mergeCell ref="A78:B78"/>
    <mergeCell ref="C78:D78"/>
    <mergeCell ref="E78:F78"/>
    <mergeCell ref="A73:B73"/>
    <mergeCell ref="C73:D73"/>
    <mergeCell ref="E73:F73"/>
    <mergeCell ref="A74:B74"/>
    <mergeCell ref="C74:D74"/>
    <mergeCell ref="E74:F74"/>
    <mergeCell ref="A75:B75"/>
    <mergeCell ref="C75:D75"/>
    <mergeCell ref="E75:F75"/>
    <mergeCell ref="H49:I49"/>
    <mergeCell ref="J49:K49"/>
    <mergeCell ref="A51:B51"/>
    <mergeCell ref="C51:D51"/>
    <mergeCell ref="E51:F51"/>
    <mergeCell ref="A56:B56"/>
    <mergeCell ref="C56:D56"/>
    <mergeCell ref="E56:F56"/>
    <mergeCell ref="A57:B57"/>
    <mergeCell ref="C57:D57"/>
    <mergeCell ref="E57:F57"/>
    <mergeCell ref="A54:B54"/>
    <mergeCell ref="C54:D54"/>
    <mergeCell ref="E54:F54"/>
    <mergeCell ref="A55:B55"/>
    <mergeCell ref="C55:D55"/>
    <mergeCell ref="E55:F55"/>
    <mergeCell ref="A43:B43"/>
    <mergeCell ref="C43:D43"/>
    <mergeCell ref="E44:F44"/>
    <mergeCell ref="A44:B44"/>
    <mergeCell ref="C44:D44"/>
    <mergeCell ref="A53:B53"/>
    <mergeCell ref="C53:D53"/>
    <mergeCell ref="E53:F53"/>
    <mergeCell ref="G49:G50"/>
    <mergeCell ref="A52:B52"/>
    <mergeCell ref="C52:D52"/>
    <mergeCell ref="E52:F52"/>
    <mergeCell ref="A45:B45"/>
    <mergeCell ref="C45:D45"/>
    <mergeCell ref="E45:F45"/>
    <mergeCell ref="A46:B46"/>
    <mergeCell ref="A47:B47"/>
    <mergeCell ref="C47:D47"/>
    <mergeCell ref="E47:F47"/>
    <mergeCell ref="A49:B50"/>
    <mergeCell ref="C49:D50"/>
    <mergeCell ref="E49:F50"/>
    <mergeCell ref="C46:D46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E32:F32"/>
    <mergeCell ref="E33:F33"/>
    <mergeCell ref="A28:B28"/>
    <mergeCell ref="A41:B41"/>
    <mergeCell ref="C41:D41"/>
    <mergeCell ref="E41:F41"/>
    <mergeCell ref="A42:B42"/>
    <mergeCell ref="C42:D42"/>
    <mergeCell ref="E42:F42"/>
    <mergeCell ref="A39:B39"/>
    <mergeCell ref="C39:D39"/>
    <mergeCell ref="E39:F39"/>
    <mergeCell ref="A37:B38"/>
    <mergeCell ref="C37:D38"/>
    <mergeCell ref="E37:F38"/>
    <mergeCell ref="A40:B40"/>
    <mergeCell ref="C40:D40"/>
    <mergeCell ref="E40:F40"/>
    <mergeCell ref="A3:B3"/>
    <mergeCell ref="A26:B27"/>
    <mergeCell ref="A29:B29"/>
    <mergeCell ref="A30:B30"/>
    <mergeCell ref="A31:B31"/>
    <mergeCell ref="A34:B34"/>
    <mergeCell ref="C34:D34"/>
    <mergeCell ref="E34:F34"/>
    <mergeCell ref="A35:B35"/>
    <mergeCell ref="C35:D35"/>
    <mergeCell ref="E35:F35"/>
    <mergeCell ref="A33:B33"/>
    <mergeCell ref="A32:B32"/>
    <mergeCell ref="C32:D32"/>
    <mergeCell ref="C33:D33"/>
    <mergeCell ref="A16:B17"/>
    <mergeCell ref="C16:D17"/>
    <mergeCell ref="A23:B23"/>
    <mergeCell ref="C23:D23"/>
    <mergeCell ref="E23:F23"/>
    <mergeCell ref="A24:B24"/>
    <mergeCell ref="C24:D24"/>
    <mergeCell ref="E24:F24"/>
    <mergeCell ref="A6:B7"/>
    <mergeCell ref="A1:Y1"/>
    <mergeCell ref="C26:D27"/>
    <mergeCell ref="E26:F27"/>
    <mergeCell ref="C28:D28"/>
    <mergeCell ref="E28:F28"/>
    <mergeCell ref="C29:D29"/>
    <mergeCell ref="E29:F29"/>
    <mergeCell ref="E30:F30"/>
    <mergeCell ref="E31:F31"/>
    <mergeCell ref="C30:D30"/>
    <mergeCell ref="C31:D31"/>
    <mergeCell ref="J3:O3"/>
    <mergeCell ref="P3:X3"/>
    <mergeCell ref="H26:I26"/>
    <mergeCell ref="J26:K26"/>
    <mergeCell ref="E16:F17"/>
    <mergeCell ref="G16:G17"/>
    <mergeCell ref="H16:I16"/>
    <mergeCell ref="J16:K16"/>
    <mergeCell ref="L16:M16"/>
    <mergeCell ref="A18:B18"/>
    <mergeCell ref="C18:D18"/>
    <mergeCell ref="E18:F18"/>
    <mergeCell ref="A19:B19"/>
    <mergeCell ref="A72:B72"/>
    <mergeCell ref="C72:D72"/>
    <mergeCell ref="E72:F72"/>
    <mergeCell ref="H70:I70"/>
    <mergeCell ref="A62:B63"/>
    <mergeCell ref="J62:K62"/>
    <mergeCell ref="A64:B64"/>
    <mergeCell ref="A65:B65"/>
    <mergeCell ref="H62:I63"/>
    <mergeCell ref="H64:I64"/>
    <mergeCell ref="H68:I68"/>
    <mergeCell ref="C62:D63"/>
    <mergeCell ref="E62:F63"/>
    <mergeCell ref="G62:G63"/>
    <mergeCell ref="A66:B66"/>
    <mergeCell ref="A67:B67"/>
    <mergeCell ref="A68:B68"/>
    <mergeCell ref="C68:D68"/>
    <mergeCell ref="E68:F68"/>
    <mergeCell ref="H67:I67"/>
    <mergeCell ref="H66:I66"/>
    <mergeCell ref="C64:D64"/>
    <mergeCell ref="E64:F64"/>
    <mergeCell ref="C65:D65"/>
    <mergeCell ref="O53:P53"/>
    <mergeCell ref="O54:P54"/>
    <mergeCell ref="O55:P55"/>
    <mergeCell ref="O56:P56"/>
    <mergeCell ref="A70:B71"/>
    <mergeCell ref="C70:D71"/>
    <mergeCell ref="E70:F71"/>
    <mergeCell ref="G70:G71"/>
    <mergeCell ref="J70:K70"/>
    <mergeCell ref="L70:M70"/>
    <mergeCell ref="E65:F65"/>
    <mergeCell ref="C66:D66"/>
    <mergeCell ref="E66:F66"/>
    <mergeCell ref="C67:D67"/>
    <mergeCell ref="A60:B60"/>
    <mergeCell ref="C60:D60"/>
    <mergeCell ref="E60:F60"/>
    <mergeCell ref="A58:B58"/>
    <mergeCell ref="C58:D58"/>
    <mergeCell ref="E58:F58"/>
    <mergeCell ref="A59:B59"/>
    <mergeCell ref="C59:D59"/>
    <mergeCell ref="E59:F59"/>
    <mergeCell ref="O63:P63"/>
    <mergeCell ref="J37:K37"/>
    <mergeCell ref="L37:M37"/>
    <mergeCell ref="G26:G27"/>
    <mergeCell ref="O27:P28"/>
    <mergeCell ref="O12:P12"/>
    <mergeCell ref="E67:F67"/>
    <mergeCell ref="H65:I65"/>
    <mergeCell ref="O15:P15"/>
    <mergeCell ref="O13:P13"/>
    <mergeCell ref="O14:P14"/>
    <mergeCell ref="L62:M62"/>
    <mergeCell ref="L49:M49"/>
    <mergeCell ref="O44:P44"/>
    <mergeCell ref="O45:P45"/>
    <mergeCell ref="O46:P46"/>
    <mergeCell ref="O48:P49"/>
    <mergeCell ref="L26:M26"/>
    <mergeCell ref="G37:G38"/>
    <mergeCell ref="H37:I37"/>
    <mergeCell ref="E46:F46"/>
    <mergeCell ref="O50:P50"/>
    <mergeCell ref="O51:P51"/>
    <mergeCell ref="E43:F43"/>
    <mergeCell ref="O52:P5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262"/>
  <sheetViews>
    <sheetView topLeftCell="A46" zoomScale="85" zoomScaleNormal="85" workbookViewId="0">
      <selection activeCell="L82" sqref="L82"/>
    </sheetView>
  </sheetViews>
  <sheetFormatPr defaultColWidth="9.140625" defaultRowHeight="15" x14ac:dyDescent="0.25"/>
  <cols>
    <col min="1" max="1" width="9.140625" style="17"/>
    <col min="2" max="2" width="10.85546875" style="17" customWidth="1"/>
    <col min="3" max="3" width="9.28515625" style="17" customWidth="1"/>
    <col min="4" max="4" width="2.140625" style="17" bestFit="1" customWidth="1"/>
    <col min="5" max="5" width="9.28515625" style="17" customWidth="1"/>
    <col min="6" max="6" width="2.140625" style="17" bestFit="1" customWidth="1"/>
    <col min="7" max="7" width="11.140625" style="17" customWidth="1"/>
    <col min="8" max="8" width="13.7109375" style="17" customWidth="1"/>
    <col min="9" max="9" width="13.42578125" style="17" customWidth="1"/>
    <col min="10" max="10" width="17.5703125" style="17" customWidth="1"/>
    <col min="11" max="11" width="15.42578125" style="17" customWidth="1"/>
    <col min="12" max="12" width="17.28515625" style="17" customWidth="1"/>
    <col min="13" max="13" width="18.28515625" style="17" customWidth="1"/>
    <col min="14" max="14" width="4.28515625" style="17" customWidth="1"/>
    <col min="15" max="15" width="12.140625" style="17" customWidth="1"/>
    <col min="16" max="16" width="12.42578125" style="17" customWidth="1"/>
    <col min="17" max="17" width="10.7109375" style="17" customWidth="1"/>
    <col min="18" max="19" width="11.42578125" style="17" customWidth="1"/>
    <col min="20" max="20" width="16.140625" style="17" customWidth="1"/>
    <col min="21" max="21" width="14.7109375" style="17" customWidth="1"/>
    <col min="22" max="22" width="19.28515625" style="17" customWidth="1"/>
    <col min="23" max="23" width="15.5703125" style="17" customWidth="1"/>
    <col min="24" max="24" width="17.5703125" style="17" customWidth="1"/>
    <col min="25" max="25" width="19" style="17" customWidth="1"/>
    <col min="26" max="16384" width="9.140625" style="17"/>
  </cols>
  <sheetData>
    <row r="1" spans="1:43" ht="22.5" customHeight="1" x14ac:dyDescent="0.25">
      <c r="A1" s="714" t="s">
        <v>748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714"/>
      <c r="T1" s="714"/>
      <c r="U1" s="714"/>
      <c r="V1" s="714"/>
      <c r="W1" s="714"/>
      <c r="X1" s="714"/>
      <c r="Y1" s="714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</row>
    <row r="2" spans="1:43" ht="9.7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</row>
    <row r="3" spans="1:43" ht="19.5" customHeight="1" x14ac:dyDescent="0.25">
      <c r="A3" s="507" t="s">
        <v>772</v>
      </c>
      <c r="B3" s="508"/>
      <c r="C3" s="198">
        <f>E3+G3+H3</f>
        <v>0</v>
      </c>
      <c r="D3" s="107" t="s">
        <v>6</v>
      </c>
      <c r="E3" s="198">
        <f>IF(AND(OR(General!Y7=General!AH16,General!Y7=General!AH21),General!N12&lt;=0),1+General!$AF$7,IF(OR(General!Y7=General!AH16,General!Y7=General!AH21),General!$N$12*General!$AF$7+General!$AF$7,0))+IF(AND(OR(General!Y7=General!AH20),General!N12&lt;=0),1+General!$AF$7+IF(OR(General!AF7=4,General!AF7=5,General!AF7=6),1,0)+IF(OR(General!AF7=7,General!AF7=8,General!AF7=9),2,0)+IF(OR(General!AF7=10,General!AF7=11,General!AF7=12,General!AF7=13),3,0)+IF(OR(General!AF7=14,General!AF7=15,General!AF7=16),4,0)+IF(OR(General!AF7=17,General!AF7=18,General!AF7=19),5,0)+IF(General!AF7=20,6,0),IF(OR(General!Y7=General!AH20),General!$N$12*General!$AF$7+General!$AF$7+IF(OR(General!AF7=4,General!AF7=5,General!AF7=6),1,0)+IF(OR(General!AF7=7,General!AF7=8,General!AF7=9),2,0)+IF(OR(General!AF7=10,General!AF7=11,General!AF7=12,General!AF7=13),3,0)+IF(OR(General!AF7=14,General!AF7=15,General!AF7=16),4,0)+IF(OR(General!AF7=17,General!AF7=18,General!AF7=19),5,0)+IF(General!AF7=20,6,0),0))+IF(AND(OR(General!Y7=General!AH18,General!Y7=General!AH24,General!Y7=General!AH27),General!N12&lt;=0),1+ROUNDDOWN(General!$AF$7/2,0),IF(OR(General!Y7=General!AH18,General!Y7=General!AH24,General!Y7=General!AH27),General!$N$12*General!$AF$7+ROUNDDOWN(General!$AF$7/2,0),0))+IF(AND(OR(General!Y7=General!AH22,General!Y7=General!AH12,General!Y7=General!AH13,General!Y7=General!AH17,General!Y7=General!AH26),General!N12&lt;=0),1+ROUNDDOWN(General!$AF$7/4,0),IF(OR(General!Y7=General!AH22,General!Y7=General!AH12,General!Y7=General!AH13,General!Y7=General!AH17,General!Y7=General!AH26),General!$N$12*General!$AF$7+ROUNDDOWN(General!$AF$7/4,0),0))+IF(AND(OR(General!Y7=General!AH28),General!N12&lt;=0),1,IF(OR(General!Y7=General!AH28),General!$N$12*General!$AF$7,0))</f>
        <v>0</v>
      </c>
      <c r="F3" s="107" t="s">
        <v>7</v>
      </c>
      <c r="G3" s="198">
        <f>4*Feats!E30</f>
        <v>0</v>
      </c>
      <c r="H3" s="191"/>
      <c r="I3" s="36"/>
      <c r="J3" s="715" t="s">
        <v>257</v>
      </c>
      <c r="K3" s="715"/>
      <c r="L3" s="715"/>
      <c r="M3" s="715"/>
      <c r="N3" s="715"/>
      <c r="O3" s="715"/>
      <c r="P3" s="716" t="s">
        <v>382</v>
      </c>
      <c r="Q3" s="716"/>
      <c r="R3" s="716"/>
      <c r="S3" s="716"/>
      <c r="T3" s="716"/>
      <c r="U3" s="716"/>
      <c r="V3" s="716"/>
      <c r="W3" s="716"/>
      <c r="X3" s="71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</row>
    <row r="4" spans="1:43" x14ac:dyDescent="0.25">
      <c r="A4" s="36"/>
      <c r="B4" s="36"/>
      <c r="C4" s="192" t="s">
        <v>1</v>
      </c>
      <c r="D4" s="36"/>
      <c r="E4" s="192" t="s">
        <v>99</v>
      </c>
      <c r="F4" s="36"/>
      <c r="G4" s="192" t="s">
        <v>129</v>
      </c>
      <c r="H4" s="192" t="s">
        <v>38</v>
      </c>
      <c r="I4" s="36"/>
      <c r="J4" s="36"/>
      <c r="K4" s="36"/>
      <c r="L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</row>
    <row r="5" spans="1:43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</row>
    <row r="6" spans="1:43" ht="18" customHeight="1" x14ac:dyDescent="0.25">
      <c r="A6" s="695" t="s">
        <v>255</v>
      </c>
      <c r="B6" s="696"/>
      <c r="C6" s="710" t="s">
        <v>437</v>
      </c>
      <c r="D6" s="711"/>
      <c r="E6" s="710" t="s">
        <v>439</v>
      </c>
      <c r="F6" s="711"/>
      <c r="G6" s="701" t="s">
        <v>438</v>
      </c>
      <c r="H6" s="710" t="s">
        <v>440</v>
      </c>
      <c r="I6" s="711"/>
      <c r="J6" s="691" t="s">
        <v>441</v>
      </c>
      <c r="K6" s="692"/>
      <c r="L6" s="691" t="s">
        <v>442</v>
      </c>
      <c r="M6" s="692"/>
      <c r="N6" s="36"/>
      <c r="O6" s="695" t="s">
        <v>712</v>
      </c>
      <c r="P6" s="696"/>
      <c r="Q6" s="701" t="s">
        <v>437</v>
      </c>
      <c r="R6" s="701" t="s">
        <v>439</v>
      </c>
      <c r="S6" s="701" t="s">
        <v>438</v>
      </c>
      <c r="T6" s="691" t="s">
        <v>440</v>
      </c>
      <c r="U6" s="692"/>
      <c r="V6" s="691" t="s">
        <v>441</v>
      </c>
      <c r="W6" s="692"/>
      <c r="X6" s="691" t="s">
        <v>442</v>
      </c>
      <c r="Y6" s="692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</row>
    <row r="7" spans="1:43" ht="18" customHeight="1" x14ac:dyDescent="0.25">
      <c r="A7" s="697"/>
      <c r="B7" s="698"/>
      <c r="C7" s="712"/>
      <c r="D7" s="713"/>
      <c r="E7" s="712"/>
      <c r="F7" s="713"/>
      <c r="G7" s="703"/>
      <c r="H7" s="712"/>
      <c r="I7" s="713"/>
      <c r="J7" s="154" t="s">
        <v>677</v>
      </c>
      <c r="K7" s="152" t="s">
        <v>678</v>
      </c>
      <c r="L7" s="154" t="s">
        <v>678</v>
      </c>
      <c r="M7" s="152" t="s">
        <v>446</v>
      </c>
      <c r="N7" s="36"/>
      <c r="O7" s="697"/>
      <c r="P7" s="698"/>
      <c r="Q7" s="703"/>
      <c r="R7" s="703"/>
      <c r="S7" s="703"/>
      <c r="T7" s="154" t="s">
        <v>713</v>
      </c>
      <c r="U7" s="152" t="s">
        <v>467</v>
      </c>
      <c r="V7" s="154" t="s">
        <v>714</v>
      </c>
      <c r="W7" s="152" t="s">
        <v>715</v>
      </c>
      <c r="X7" s="154" t="s">
        <v>713</v>
      </c>
      <c r="Y7" s="152" t="s">
        <v>716</v>
      </c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</row>
    <row r="8" spans="1:43" ht="18" customHeight="1" x14ac:dyDescent="0.25">
      <c r="A8" s="542" t="s">
        <v>248</v>
      </c>
      <c r="B8" s="542"/>
      <c r="C8" s="708"/>
      <c r="D8" s="709"/>
      <c r="E8" s="708"/>
      <c r="F8" s="709"/>
      <c r="G8" s="193"/>
      <c r="H8" s="708"/>
      <c r="I8" s="709"/>
      <c r="J8" s="191"/>
      <c r="K8" s="194"/>
      <c r="L8" s="191"/>
      <c r="M8" s="194"/>
      <c r="N8" s="36"/>
      <c r="O8" s="542" t="s">
        <v>248</v>
      </c>
      <c r="P8" s="542"/>
      <c r="Q8" s="101"/>
      <c r="R8" s="335"/>
      <c r="S8" s="335"/>
      <c r="T8" s="334"/>
      <c r="U8" s="202"/>
      <c r="V8" s="334"/>
      <c r="W8" s="202"/>
      <c r="X8" s="334"/>
      <c r="Y8" s="202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</row>
    <row r="9" spans="1:43" ht="18" customHeight="1" x14ac:dyDescent="0.25">
      <c r="A9" s="542" t="s">
        <v>247</v>
      </c>
      <c r="B9" s="542"/>
      <c r="C9" s="469" t="str">
        <f>IF(AND(SUM(Skills!$G$19+Skills!$H$19)&gt;=3,$C$39="Yes"),"Yes","No")</f>
        <v>No</v>
      </c>
      <c r="D9" s="470"/>
      <c r="E9" s="469" t="str">
        <f>IF(AND(SUM(Skills!$G$19+Skills!$H$19)&gt;=5,$C$39="Yes"),"Yes","No")</f>
        <v>No</v>
      </c>
      <c r="F9" s="470"/>
      <c r="G9" s="195" t="str">
        <f>IF(AND(SUM(Skills!$G$19+Skills!$H$19)&gt;=7,$C$39="Yes"),"Yes","No")</f>
        <v>No</v>
      </c>
      <c r="H9" s="469" t="str">
        <f>IF(AND(SUM(Skills!$G$19+Skills!$H$19)&gt;=9,$C$39="Yes"),"Yes","No")</f>
        <v>No</v>
      </c>
      <c r="I9" s="470"/>
      <c r="J9" s="195" t="str">
        <f>IF(AND(SUM(Skills!$G$19+Skills!$H$19)&gt;=11,$C$39="Yes"),"Yes","No")</f>
        <v>No</v>
      </c>
      <c r="K9" s="217" t="str">
        <f>IF(AND(SUM(Skills!$G$19+Skills!$H$19)&gt;=11,$C$39="Yes"),"Yes","No")</f>
        <v>No</v>
      </c>
      <c r="L9" s="217" t="str">
        <f>IF(AND(SUM(Skills!$G$19+Skills!$H$19)&gt;=13,$C$39="Yes"),"Yes","No")</f>
        <v>No</v>
      </c>
      <c r="M9" s="198" t="str">
        <f>IF(AND(SUM(Skills!$G$19+Skills!$H$19)&gt;=13,$C$39="Yes"),"Yes","No")</f>
        <v>No</v>
      </c>
      <c r="N9" s="36"/>
      <c r="O9" s="542" t="s">
        <v>247</v>
      </c>
      <c r="P9" s="542"/>
      <c r="Q9" s="198" t="str">
        <f>IF(SUM(Skills!$G$19+Skills!$H$19)&gt;=2,"Yes","No")</f>
        <v>No</v>
      </c>
      <c r="R9" s="198" t="str">
        <f>IF(SUM(Skills!$G$19+Skills!$H$19)&gt;=4,"Yes","No")</f>
        <v>No</v>
      </c>
      <c r="S9" s="198" t="str">
        <f>IF(SUM(Skills!$G$19+Skills!$H$19)&gt;=6,"Yes","No")</f>
        <v>No</v>
      </c>
      <c r="T9" s="198" t="str">
        <f>IF(SUM(Skills!$G$19+Skills!$H$19)&gt;=8,"Yes","No")</f>
        <v>No</v>
      </c>
      <c r="U9" s="198" t="str">
        <f>IF(SUM(Skills!$G$19+Skills!$H$19)&gt;=8,"Yes","No")</f>
        <v>No</v>
      </c>
      <c r="V9" s="198" t="str">
        <f>IF(SUM(Skills!$G$19+Skills!$H$19)&gt;=10,"Yes","No")</f>
        <v>No</v>
      </c>
      <c r="W9" s="198" t="str">
        <f>IF(SUM(Skills!$G$19+Skills!$H$19)&gt;=10,"Yes","No")</f>
        <v>No</v>
      </c>
      <c r="X9" s="198" t="str">
        <f>IF(SUM(Skills!$G$19+Skills!$H$19)&gt;=12,"Yes","No")</f>
        <v>No</v>
      </c>
      <c r="Y9" s="198" t="str">
        <f>IF(SUM(Skills!$G$19+Skills!$H$19)&gt;=12,"Yes","No")</f>
        <v>No</v>
      </c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</row>
    <row r="10" spans="1:43" ht="18" customHeight="1" x14ac:dyDescent="0.25">
      <c r="A10" s="691" t="s">
        <v>582</v>
      </c>
      <c r="B10" s="692"/>
      <c r="C10" s="469">
        <v>1</v>
      </c>
      <c r="D10" s="470"/>
      <c r="E10" s="469">
        <v>2</v>
      </c>
      <c r="F10" s="470"/>
      <c r="G10" s="198">
        <v>2</v>
      </c>
      <c r="H10" s="469">
        <v>2</v>
      </c>
      <c r="I10" s="470"/>
      <c r="J10" s="198" t="s">
        <v>53</v>
      </c>
      <c r="K10" s="198" t="s">
        <v>53</v>
      </c>
      <c r="L10" s="155" t="s">
        <v>450</v>
      </c>
      <c r="M10" s="155" t="s">
        <v>450</v>
      </c>
      <c r="N10" s="36"/>
      <c r="O10" s="691" t="s">
        <v>582</v>
      </c>
      <c r="P10" s="692"/>
      <c r="Q10" s="198">
        <v>1</v>
      </c>
      <c r="R10" s="198">
        <v>1</v>
      </c>
      <c r="S10" s="198">
        <v>2</v>
      </c>
      <c r="T10" s="198" t="s">
        <v>53</v>
      </c>
      <c r="U10" s="198" t="s">
        <v>53</v>
      </c>
      <c r="V10" s="155" t="s">
        <v>450</v>
      </c>
      <c r="W10" s="155" t="s">
        <v>450</v>
      </c>
      <c r="X10" s="155" t="s">
        <v>450</v>
      </c>
      <c r="Y10" s="155" t="s">
        <v>450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3" ht="18" customHeight="1" x14ac:dyDescent="0.25">
      <c r="A11" s="691" t="s">
        <v>256</v>
      </c>
      <c r="B11" s="692"/>
      <c r="C11" s="469">
        <f>10+ROUNDDOWN(SUM(Skills!$G$19+Skills!$H$19)/2,0)+General!$N$12</f>
        <v>5</v>
      </c>
      <c r="D11" s="470"/>
      <c r="E11" s="469">
        <f>11+ROUNDDOWN(SUM(Skills!$G$19+Skills!$H$19)/2,0)+General!$N$12</f>
        <v>6</v>
      </c>
      <c r="F11" s="470"/>
      <c r="G11" s="195">
        <f>12+ROUNDDOWN(SUM(Skills!$G$19+Skills!$H$19)/2,0)+General!$N$12</f>
        <v>7</v>
      </c>
      <c r="H11" s="469">
        <f>13+ROUNDDOWN(SUM(Skills!$G$19+Skills!$H$19)/2,0)+General!$N$12</f>
        <v>8</v>
      </c>
      <c r="I11" s="470"/>
      <c r="J11" s="198" t="s">
        <v>53</v>
      </c>
      <c r="K11" s="198">
        <f>H11+1</f>
        <v>9</v>
      </c>
      <c r="L11" s="198" t="s">
        <v>53</v>
      </c>
      <c r="M11" s="155">
        <f>IF(K8="Yes",K11+2,H11+2)</f>
        <v>10</v>
      </c>
      <c r="N11" s="36"/>
      <c r="O11" s="691" t="s">
        <v>681</v>
      </c>
      <c r="P11" s="692"/>
      <c r="Q11" s="203">
        <f>10+ROUNDDOWN(SUM(Skills!$G$19+Skills!$H$19)/2,0)+General!$N$12</f>
        <v>5</v>
      </c>
      <c r="R11" s="203">
        <f>10+ROUNDDOWN(SUM(Skills!$G$19+Skills!$H$19)/2,0)+General!$N$12</f>
        <v>5</v>
      </c>
      <c r="S11" s="203">
        <f>10+ROUNDDOWN(SUM(Skills!$G$19+Skills!$H$19)/2,0)+General!$N$12</f>
        <v>5</v>
      </c>
      <c r="T11" s="203">
        <f>10+ROUNDDOWN(SUM(Skills!$G$19+Skills!$H$19)/2,0)+General!$N$12</f>
        <v>5</v>
      </c>
      <c r="U11" s="203">
        <f>10+ROUNDDOWN(SUM(Skills!$G$19+Skills!$H$19)/2,0)+General!$N$12</f>
        <v>5</v>
      </c>
      <c r="V11" s="203">
        <f>10+ROUNDDOWN(SUM(Skills!$G$19+Skills!$H$19)/2,0)+General!$N$12</f>
        <v>5</v>
      </c>
      <c r="W11" s="203">
        <f>10+ROUNDDOWN(SUM(Skills!$G$19+Skills!$H$19)/2,0)+General!$N$12</f>
        <v>5</v>
      </c>
      <c r="X11" s="203">
        <f>10+ROUNDDOWN(SUM(Skills!$G$19+Skills!$H$19)/2,0)+General!$N$12</f>
        <v>5</v>
      </c>
      <c r="Y11" s="198">
        <f>10+ROUNDDOWN(SUM(Skills!$G$19+Skills!$H$19)/2,0)+General!$N$12</f>
        <v>5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43" ht="18" customHeight="1" x14ac:dyDescent="0.25">
      <c r="A12" s="542" t="s">
        <v>249</v>
      </c>
      <c r="B12" s="542"/>
      <c r="C12" s="536">
        <v>2</v>
      </c>
      <c r="D12" s="538"/>
      <c r="E12" s="536">
        <v>2</v>
      </c>
      <c r="F12" s="538"/>
      <c r="G12" s="196">
        <v>3</v>
      </c>
      <c r="H12" s="469">
        <v>3</v>
      </c>
      <c r="I12" s="470"/>
      <c r="J12" s="198" t="s">
        <v>53</v>
      </c>
      <c r="K12" s="198" t="s">
        <v>53</v>
      </c>
      <c r="L12" s="198" t="s">
        <v>53</v>
      </c>
      <c r="M12" s="183" t="s">
        <v>450</v>
      </c>
      <c r="N12" s="36"/>
      <c r="O12" s="691" t="s">
        <v>553</v>
      </c>
      <c r="P12" s="692"/>
      <c r="Q12" s="203">
        <v>1</v>
      </c>
      <c r="R12" s="203">
        <v>1</v>
      </c>
      <c r="S12" s="203">
        <v>1</v>
      </c>
      <c r="T12" s="198" t="s">
        <v>53</v>
      </c>
      <c r="U12" s="198" t="s">
        <v>53</v>
      </c>
      <c r="V12" s="198" t="s">
        <v>53</v>
      </c>
      <c r="W12" s="155" t="s">
        <v>450</v>
      </c>
      <c r="X12" s="198" t="s">
        <v>53</v>
      </c>
      <c r="Y12" s="198" t="s">
        <v>53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ht="18" customHeight="1" x14ac:dyDescent="0.25">
      <c r="A13" s="691" t="s">
        <v>449</v>
      </c>
      <c r="B13" s="692"/>
      <c r="C13" s="469">
        <v>2</v>
      </c>
      <c r="D13" s="470"/>
      <c r="E13" s="469">
        <v>1</v>
      </c>
      <c r="F13" s="470"/>
      <c r="G13" s="195">
        <v>1</v>
      </c>
      <c r="H13" s="469">
        <v>1</v>
      </c>
      <c r="I13" s="470"/>
      <c r="J13" s="198" t="s">
        <v>53</v>
      </c>
      <c r="K13" s="198" t="s">
        <v>53</v>
      </c>
      <c r="L13" s="198" t="s">
        <v>53</v>
      </c>
      <c r="M13" s="198" t="s">
        <v>53</v>
      </c>
      <c r="N13" s="36"/>
      <c r="O13" s="691" t="s">
        <v>717</v>
      </c>
      <c r="P13" s="692"/>
      <c r="Q13" s="198" t="s">
        <v>510</v>
      </c>
      <c r="R13" s="203" t="s">
        <v>475</v>
      </c>
      <c r="S13" s="203" t="s">
        <v>477</v>
      </c>
      <c r="T13" s="198" t="s">
        <v>53</v>
      </c>
      <c r="U13" s="466" t="s">
        <v>500</v>
      </c>
      <c r="V13" s="198" t="s">
        <v>53</v>
      </c>
      <c r="W13" s="198" t="s">
        <v>53</v>
      </c>
      <c r="X13" s="198" t="s">
        <v>53</v>
      </c>
      <c r="Y13" s="155" t="s">
        <v>500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ht="18" customHeight="1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691" t="s">
        <v>718</v>
      </c>
      <c r="P14" s="692"/>
      <c r="Q14" s="198" t="s">
        <v>509</v>
      </c>
      <c r="R14" s="203" t="s">
        <v>509</v>
      </c>
      <c r="S14" s="203" t="s">
        <v>719</v>
      </c>
      <c r="T14" s="198" t="s">
        <v>53</v>
      </c>
      <c r="U14" s="198" t="s">
        <v>53</v>
      </c>
      <c r="V14" s="198" t="s">
        <v>53</v>
      </c>
      <c r="W14" s="198" t="s">
        <v>53</v>
      </c>
      <c r="X14" s="198" t="s">
        <v>53</v>
      </c>
      <c r="Y14" s="198" t="s">
        <v>53</v>
      </c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</row>
    <row r="15" spans="1:43" ht="18" customHeight="1" x14ac:dyDescent="0.25">
      <c r="A15" s="695" t="s">
        <v>258</v>
      </c>
      <c r="B15" s="696"/>
      <c r="C15" s="710" t="s">
        <v>437</v>
      </c>
      <c r="D15" s="711"/>
      <c r="E15" s="710" t="s">
        <v>439</v>
      </c>
      <c r="F15" s="711"/>
      <c r="G15" s="701" t="s">
        <v>438</v>
      </c>
      <c r="H15" s="691" t="s">
        <v>440</v>
      </c>
      <c r="I15" s="692"/>
      <c r="J15" s="691" t="s">
        <v>441</v>
      </c>
      <c r="K15" s="692"/>
      <c r="L15" s="691" t="s">
        <v>442</v>
      </c>
      <c r="M15" s="692"/>
      <c r="N15" s="36"/>
      <c r="O15" s="691" t="s">
        <v>449</v>
      </c>
      <c r="P15" s="692"/>
      <c r="Q15" s="198">
        <v>3</v>
      </c>
      <c r="R15" s="203">
        <v>2</v>
      </c>
      <c r="S15" s="203">
        <v>2</v>
      </c>
      <c r="T15" s="198" t="s">
        <v>53</v>
      </c>
      <c r="U15" s="198" t="s">
        <v>53</v>
      </c>
      <c r="V15" s="198" t="s">
        <v>53</v>
      </c>
      <c r="W15" s="198" t="s">
        <v>53</v>
      </c>
      <c r="X15" s="198" t="s">
        <v>53</v>
      </c>
      <c r="Y15" s="198" t="s">
        <v>53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 x14ac:dyDescent="0.25">
      <c r="A16" s="697"/>
      <c r="B16" s="698"/>
      <c r="C16" s="712"/>
      <c r="D16" s="713"/>
      <c r="E16" s="712"/>
      <c r="F16" s="713"/>
      <c r="G16" s="703"/>
      <c r="H16" s="154" t="s">
        <v>446</v>
      </c>
      <c r="I16" s="152" t="s">
        <v>466</v>
      </c>
      <c r="J16" s="154" t="s">
        <v>679</v>
      </c>
      <c r="K16" s="152" t="s">
        <v>665</v>
      </c>
      <c r="L16" s="154" t="s">
        <v>680</v>
      </c>
      <c r="M16" s="152" t="s">
        <v>1108</v>
      </c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</row>
    <row r="17" spans="1:43" ht="18" customHeight="1" x14ac:dyDescent="0.25">
      <c r="A17" s="542" t="s">
        <v>248</v>
      </c>
      <c r="B17" s="542"/>
      <c r="C17" s="708"/>
      <c r="D17" s="709"/>
      <c r="E17" s="708"/>
      <c r="F17" s="709"/>
      <c r="G17" s="193"/>
      <c r="H17" s="191"/>
      <c r="I17" s="194"/>
      <c r="J17" s="191"/>
      <c r="K17" s="194"/>
      <c r="L17" s="191"/>
      <c r="M17" s="194"/>
      <c r="N17" s="36"/>
      <c r="O17" s="695" t="s">
        <v>720</v>
      </c>
      <c r="P17" s="696"/>
      <c r="Q17" s="701" t="s">
        <v>437</v>
      </c>
      <c r="R17" s="701" t="s">
        <v>439</v>
      </c>
      <c r="S17" s="701" t="s">
        <v>438</v>
      </c>
      <c r="T17" s="691" t="s">
        <v>440</v>
      </c>
      <c r="U17" s="692"/>
      <c r="V17" s="691" t="s">
        <v>441</v>
      </c>
      <c r="W17" s="692"/>
      <c r="X17" s="691" t="s">
        <v>442</v>
      </c>
      <c r="Y17" s="692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</row>
    <row r="18" spans="1:43" ht="18" customHeight="1" x14ac:dyDescent="0.25">
      <c r="A18" s="542" t="s">
        <v>247</v>
      </c>
      <c r="B18" s="542"/>
      <c r="C18" s="469" t="str">
        <f>IF(SUM(Skills!$G$23+Skills!$H$23)&gt;=2,"Yes","No")</f>
        <v>No</v>
      </c>
      <c r="D18" s="470"/>
      <c r="E18" s="469" t="str">
        <f>IF(SUM(Skills!$G$23+Skills!$H$23)&gt;=4,"Yes","No")</f>
        <v>No</v>
      </c>
      <c r="F18" s="470"/>
      <c r="G18" s="195" t="str">
        <f>IF(SUM(Skills!$G$23+Skills!$H$23)&gt;=6,"Yes","No")</f>
        <v>No</v>
      </c>
      <c r="H18" s="195" t="str">
        <f>IF(SUM(Skills!$G$23+Skills!$H$23)&gt;=8,"Yes","No")</f>
        <v>No</v>
      </c>
      <c r="I18" s="195" t="str">
        <f>IF(SUM(Skills!$G$23+Skills!$H$23)&gt;=8,"Yes","No")</f>
        <v>No</v>
      </c>
      <c r="J18" s="195" t="str">
        <f>IF(SUM(Skills!$G$23+Skills!$H$23)&gt;=10,"Yes","No")</f>
        <v>No</v>
      </c>
      <c r="K18" s="195" t="str">
        <f>IF(SUM(Skills!$G$23+Skills!$H$23)&gt;=10,"Yes","No")</f>
        <v>No</v>
      </c>
      <c r="L18" s="195" t="str">
        <f>IF(SUM(Skills!$G$23+Skills!$H$23)&gt;=12,"Yes","No")</f>
        <v>No</v>
      </c>
      <c r="M18" s="198" t="str">
        <f>IF(SUM(Skills!$G$23+Skills!$H$23)&gt;=12,"Yes","No")</f>
        <v>No</v>
      </c>
      <c r="N18" s="36"/>
      <c r="O18" s="697"/>
      <c r="P18" s="698"/>
      <c r="Q18" s="703"/>
      <c r="R18" s="703"/>
      <c r="S18" s="703"/>
      <c r="T18" s="154" t="s">
        <v>467</v>
      </c>
      <c r="U18" s="152" t="s">
        <v>721</v>
      </c>
      <c r="V18" s="154" t="s">
        <v>722</v>
      </c>
      <c r="W18" s="152" t="s">
        <v>723</v>
      </c>
      <c r="X18" s="154" t="s">
        <v>467</v>
      </c>
      <c r="Y18" s="152" t="s">
        <v>724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</row>
    <row r="19" spans="1:43" ht="18" customHeight="1" x14ac:dyDescent="0.25">
      <c r="A19" s="691" t="s">
        <v>582</v>
      </c>
      <c r="B19" s="692"/>
      <c r="C19" s="469">
        <v>2</v>
      </c>
      <c r="D19" s="470"/>
      <c r="E19" s="469">
        <v>2</v>
      </c>
      <c r="F19" s="470"/>
      <c r="G19" s="198">
        <v>3</v>
      </c>
      <c r="H19" s="198" t="s">
        <v>53</v>
      </c>
      <c r="I19" s="198" t="s">
        <v>53</v>
      </c>
      <c r="J19" s="155" t="s">
        <v>450</v>
      </c>
      <c r="K19" s="155" t="s">
        <v>450</v>
      </c>
      <c r="L19" s="155" t="s">
        <v>450</v>
      </c>
      <c r="M19" s="155" t="s">
        <v>450</v>
      </c>
      <c r="N19" s="36"/>
      <c r="O19" s="542" t="s">
        <v>248</v>
      </c>
      <c r="P19" s="542"/>
      <c r="Q19" s="101"/>
      <c r="R19" s="201"/>
      <c r="S19" s="201"/>
      <c r="T19" s="200"/>
      <c r="U19" s="202"/>
      <c r="V19" s="200"/>
      <c r="W19" s="202"/>
      <c r="X19" s="200"/>
      <c r="Y19" s="202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</row>
    <row r="20" spans="1:43" ht="18" customHeight="1" x14ac:dyDescent="0.25">
      <c r="A20" s="691" t="s">
        <v>681</v>
      </c>
      <c r="B20" s="692"/>
      <c r="C20" s="469">
        <f>10+ROUNDDOWN(SUM(Skills!$G$23+Skills!$H$23)/2,0)+General!$N$12</f>
        <v>5</v>
      </c>
      <c r="D20" s="470"/>
      <c r="E20" s="469">
        <f>10+ROUNDDOWN(SUM(Skills!$G$23+Skills!$H$23)/2,0)+General!$N$12</f>
        <v>5</v>
      </c>
      <c r="F20" s="470"/>
      <c r="G20" s="195">
        <f>10+ROUNDDOWN(SUM(Skills!$G$23+Skills!$H$23)/2,0)+General!$N$12</f>
        <v>5</v>
      </c>
      <c r="H20" s="195">
        <f>10+ROUNDDOWN(SUM(Skills!$G$23+Skills!$H$23)/2,0)+General!$N$12</f>
        <v>5</v>
      </c>
      <c r="I20" s="195">
        <f>10+ROUNDDOWN(SUM(Skills!$G$23+Skills!$H$23)/2,0)+General!$N$12</f>
        <v>5</v>
      </c>
      <c r="J20" s="195">
        <f>10+ROUNDDOWN(SUM(Skills!$G$23+Skills!$H$23)/2,0)+General!$N$12</f>
        <v>5</v>
      </c>
      <c r="K20" s="195">
        <f>10+ROUNDDOWN(SUM(Skills!$G$23+Skills!$H$23)/2,0)+General!$N$12</f>
        <v>5</v>
      </c>
      <c r="L20" s="195">
        <f>10+ROUNDDOWN(SUM(Skills!$G$23+Skills!$H$23)/2,0)+General!$N$12</f>
        <v>5</v>
      </c>
      <c r="M20" s="198">
        <f>10+ROUNDDOWN(SUM(Skills!$G$23+Skills!$H$23)/2,0)+General!$N$12</f>
        <v>5</v>
      </c>
      <c r="N20" s="36"/>
      <c r="O20" s="542" t="s">
        <v>247</v>
      </c>
      <c r="P20" s="542"/>
      <c r="Q20" s="198" t="str">
        <f>IF(SUM(Skills!$G$19+Skills!$H$19)&gt;=5,"Yes","No")</f>
        <v>No</v>
      </c>
      <c r="R20" s="198" t="str">
        <f>IF(SUM(Skills!$G$19+Skills!$H$19)&gt;=7,"Yes","No")</f>
        <v>No</v>
      </c>
      <c r="S20" s="198" t="str">
        <f>IF(SUM(Skills!$G$19+Skills!$H$19)&gt;=9,"Yes","No")</f>
        <v>No</v>
      </c>
      <c r="T20" s="198" t="str">
        <f>IF(SUM(Skills!$G$19+Skills!$H$19)&gt;=11,"Yes","No")</f>
        <v>No</v>
      </c>
      <c r="U20" s="198" t="str">
        <f>IF(SUM(Skills!$G$19+Skills!$H$19)&gt;=11,"Yes","No")</f>
        <v>No</v>
      </c>
      <c r="V20" s="198" t="str">
        <f>IF(SUM(Skills!$G$19+Skills!$H$19)&gt;=13,"Yes","No")</f>
        <v>No</v>
      </c>
      <c r="W20" s="198" t="str">
        <f>IF(SUM(Skills!$G$19+Skills!$H$19)&gt;=13,"Yes","No")</f>
        <v>No</v>
      </c>
      <c r="X20" s="198" t="str">
        <f>IF(SUM(Skills!$G$19+Skills!$H$19)&gt;=15,"Yes","No")</f>
        <v>No</v>
      </c>
      <c r="Y20" s="198" t="str">
        <f>IF(SUM(Skills!$G$19+Skills!$H$19)&gt;=15,"Yes","No")</f>
        <v>No</v>
      </c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</row>
    <row r="21" spans="1:43" ht="18" customHeight="1" x14ac:dyDescent="0.25">
      <c r="A21" s="542" t="s">
        <v>471</v>
      </c>
      <c r="B21" s="542"/>
      <c r="C21" s="536">
        <v>5</v>
      </c>
      <c r="D21" s="538"/>
      <c r="E21" s="536">
        <v>5</v>
      </c>
      <c r="F21" s="538"/>
      <c r="G21" s="196">
        <v>10</v>
      </c>
      <c r="H21" s="198" t="s">
        <v>53</v>
      </c>
      <c r="I21" s="183" t="s">
        <v>482</v>
      </c>
      <c r="J21" s="198" t="s">
        <v>53</v>
      </c>
      <c r="K21" s="198" t="s">
        <v>53</v>
      </c>
      <c r="L21" s="198" t="s">
        <v>53</v>
      </c>
      <c r="M21" s="198" t="s">
        <v>53</v>
      </c>
      <c r="N21" s="36"/>
      <c r="O21" s="691" t="s">
        <v>582</v>
      </c>
      <c r="P21" s="692"/>
      <c r="Q21" s="198">
        <v>2</v>
      </c>
      <c r="R21" s="198">
        <v>2</v>
      </c>
      <c r="S21" s="198">
        <v>3</v>
      </c>
      <c r="T21" s="198" t="s">
        <v>53</v>
      </c>
      <c r="U21" s="198" t="s">
        <v>53</v>
      </c>
      <c r="V21" s="155" t="s">
        <v>450</v>
      </c>
      <c r="W21" s="155" t="s">
        <v>450</v>
      </c>
      <c r="X21" s="155" t="s">
        <v>450</v>
      </c>
      <c r="Y21" s="155" t="s">
        <v>450</v>
      </c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</row>
    <row r="22" spans="1:43" ht="18" customHeight="1" x14ac:dyDescent="0.25">
      <c r="A22" s="691" t="s">
        <v>249</v>
      </c>
      <c r="B22" s="692"/>
      <c r="C22" s="469">
        <v>3</v>
      </c>
      <c r="D22" s="470"/>
      <c r="E22" s="469">
        <v>3</v>
      </c>
      <c r="F22" s="470"/>
      <c r="G22" s="195">
        <v>3</v>
      </c>
      <c r="H22" s="155" t="s">
        <v>450</v>
      </c>
      <c r="I22" s="198" t="s">
        <v>53</v>
      </c>
      <c r="J22" s="198" t="s">
        <v>53</v>
      </c>
      <c r="K22" s="198" t="s">
        <v>53</v>
      </c>
      <c r="L22" s="198" t="s">
        <v>53</v>
      </c>
      <c r="M22" s="198" t="s">
        <v>53</v>
      </c>
      <c r="N22" s="36"/>
      <c r="O22" s="691" t="s">
        <v>727</v>
      </c>
      <c r="P22" s="692"/>
      <c r="Q22" s="203">
        <f>10+ROUNDDOWN(SUM(Skills!$G$19+Skills!$H$19)/2,0)+General!$N$12</f>
        <v>5</v>
      </c>
      <c r="R22" s="203">
        <f>10+ROUNDDOWN(SUM(Skills!$G$19+Skills!$H$19)/2,0)+General!$N$12</f>
        <v>5</v>
      </c>
      <c r="S22" s="203">
        <f>10+ROUNDDOWN(SUM(Skills!$G$19+Skills!$H$19)/2,0)+General!$N$12</f>
        <v>5</v>
      </c>
      <c r="T22" s="203">
        <f>10+ROUNDDOWN(SUM(Skills!$G$19+Skills!$H$19)/2,0)+General!$N$12</f>
        <v>5</v>
      </c>
      <c r="U22" s="203">
        <f>10+ROUNDDOWN(SUM(Skills!$G$19+Skills!$H$19)/2,0)+General!$N$12</f>
        <v>5</v>
      </c>
      <c r="V22" s="203">
        <f>10+ROUNDDOWN(SUM(Skills!$G$19+Skills!$H$19)/2,0)+General!$N$12+1</f>
        <v>6</v>
      </c>
      <c r="W22" s="203">
        <f>10+ROUNDDOWN(SUM(Skills!$G$19+Skills!$H$19)/2,0)+General!$N$12</f>
        <v>5</v>
      </c>
      <c r="X22" s="203">
        <f>10+ROUNDDOWN(SUM(Skills!$G$19+Skills!$H$19)/2,0)+General!$N$12+IF(V19="Yes",1,0)</f>
        <v>5</v>
      </c>
      <c r="Y22" s="198">
        <f>10+ROUNDDOWN(SUM(Skills!$G$19+Skills!$H$19)/2,0)+General!$N$12+IF(V19="Yes",1,0)</f>
        <v>5</v>
      </c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ht="18" customHeight="1" x14ac:dyDescent="0.25">
      <c r="A23" s="691" t="s">
        <v>449</v>
      </c>
      <c r="B23" s="692"/>
      <c r="C23" s="469">
        <v>4</v>
      </c>
      <c r="D23" s="470"/>
      <c r="E23" s="469">
        <v>3</v>
      </c>
      <c r="F23" s="470"/>
      <c r="G23" s="195">
        <v>3</v>
      </c>
      <c r="H23" s="198" t="s">
        <v>53</v>
      </c>
      <c r="I23" s="198" t="s">
        <v>53</v>
      </c>
      <c r="J23" s="198" t="s">
        <v>53</v>
      </c>
      <c r="K23" s="155" t="s">
        <v>459</v>
      </c>
      <c r="L23" s="198" t="s">
        <v>53</v>
      </c>
      <c r="M23" s="198" t="s">
        <v>53</v>
      </c>
      <c r="N23" s="36"/>
      <c r="O23" s="691" t="s">
        <v>725</v>
      </c>
      <c r="P23" s="692"/>
      <c r="Q23" s="203">
        <v>5</v>
      </c>
      <c r="R23" s="203">
        <v>5</v>
      </c>
      <c r="S23" s="203">
        <v>5</v>
      </c>
      <c r="T23" s="198" t="s">
        <v>53</v>
      </c>
      <c r="U23" s="198" t="s">
        <v>53</v>
      </c>
      <c r="V23" s="198" t="s">
        <v>53</v>
      </c>
      <c r="W23" s="198" t="s">
        <v>53</v>
      </c>
      <c r="X23" s="198" t="s">
        <v>53</v>
      </c>
      <c r="Y23" s="155" t="s">
        <v>482</v>
      </c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ht="18" customHeight="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691" t="s">
        <v>726</v>
      </c>
      <c r="P24" s="692"/>
      <c r="Q24" s="198">
        <v>10</v>
      </c>
      <c r="R24" s="203">
        <v>10</v>
      </c>
      <c r="S24" s="203">
        <v>10</v>
      </c>
      <c r="T24" s="198" t="s">
        <v>53</v>
      </c>
      <c r="U24" s="155" t="s">
        <v>482</v>
      </c>
      <c r="V24" s="198" t="s">
        <v>53</v>
      </c>
      <c r="W24" s="198" t="s">
        <v>53</v>
      </c>
      <c r="X24" s="198" t="s">
        <v>53</v>
      </c>
      <c r="Y24" s="155" t="s">
        <v>482</v>
      </c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</row>
    <row r="25" spans="1:43" ht="18" customHeight="1" x14ac:dyDescent="0.25">
      <c r="A25" s="695" t="s">
        <v>189</v>
      </c>
      <c r="B25" s="696"/>
      <c r="C25" s="710" t="s">
        <v>437</v>
      </c>
      <c r="D25" s="711"/>
      <c r="E25" s="710" t="s">
        <v>439</v>
      </c>
      <c r="F25" s="711"/>
      <c r="G25" s="701" t="s">
        <v>438</v>
      </c>
      <c r="H25" s="691" t="s">
        <v>440</v>
      </c>
      <c r="I25" s="692"/>
      <c r="J25" s="691" t="s">
        <v>441</v>
      </c>
      <c r="K25" s="692"/>
      <c r="L25" s="691" t="s">
        <v>442</v>
      </c>
      <c r="M25" s="692"/>
      <c r="N25" s="36"/>
      <c r="O25" s="691" t="s">
        <v>467</v>
      </c>
      <c r="P25" s="692"/>
      <c r="Q25" s="198" t="s">
        <v>654</v>
      </c>
      <c r="R25" s="203" t="s">
        <v>654</v>
      </c>
      <c r="S25" s="203" t="s">
        <v>655</v>
      </c>
      <c r="T25" s="155" t="s">
        <v>661</v>
      </c>
      <c r="U25" s="198" t="s">
        <v>53</v>
      </c>
      <c r="V25" s="198" t="s">
        <v>53</v>
      </c>
      <c r="W25" s="198" t="s">
        <v>53</v>
      </c>
      <c r="X25" s="155" t="s">
        <v>728</v>
      </c>
      <c r="Y25" s="198" t="s">
        <v>53</v>
      </c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</row>
    <row r="26" spans="1:43" ht="18" customHeight="1" x14ac:dyDescent="0.25">
      <c r="A26" s="697"/>
      <c r="B26" s="698"/>
      <c r="C26" s="712"/>
      <c r="D26" s="713"/>
      <c r="E26" s="712"/>
      <c r="F26" s="713"/>
      <c r="G26" s="703"/>
      <c r="H26" s="154" t="s">
        <v>689</v>
      </c>
      <c r="I26" s="152" t="s">
        <v>658</v>
      </c>
      <c r="J26" s="154" t="s">
        <v>687</v>
      </c>
      <c r="K26" s="152" t="s">
        <v>688</v>
      </c>
      <c r="L26" s="154" t="s">
        <v>690</v>
      </c>
      <c r="M26" s="152" t="s">
        <v>691</v>
      </c>
      <c r="N26" s="36"/>
      <c r="O26" s="691" t="s">
        <v>449</v>
      </c>
      <c r="P26" s="692"/>
      <c r="Q26" s="198">
        <v>2</v>
      </c>
      <c r="R26" s="203">
        <v>1</v>
      </c>
      <c r="S26" s="203">
        <v>1</v>
      </c>
      <c r="T26" s="198" t="s">
        <v>53</v>
      </c>
      <c r="U26" s="198" t="s">
        <v>53</v>
      </c>
      <c r="V26" s="198" t="s">
        <v>53</v>
      </c>
      <c r="W26" s="198" t="s">
        <v>53</v>
      </c>
      <c r="X26" s="198" t="s">
        <v>53</v>
      </c>
      <c r="Y26" s="198" t="s">
        <v>53</v>
      </c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1:43" ht="18" customHeight="1" x14ac:dyDescent="0.25">
      <c r="A27" s="542" t="s">
        <v>248</v>
      </c>
      <c r="B27" s="542"/>
      <c r="C27" s="708"/>
      <c r="D27" s="709"/>
      <c r="E27" s="708"/>
      <c r="F27" s="709"/>
      <c r="G27" s="335"/>
      <c r="H27" s="334"/>
      <c r="I27" s="194"/>
      <c r="J27" s="191"/>
      <c r="K27" s="336"/>
      <c r="L27" s="334"/>
      <c r="M27" s="194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43" ht="18" customHeight="1" x14ac:dyDescent="0.25">
      <c r="A28" s="542" t="s">
        <v>247</v>
      </c>
      <c r="B28" s="542"/>
      <c r="C28" s="469" t="str">
        <f>IF(AND(SUM(Skills!$G$19+Skills!$H$19)&gt;=4,OR(General!$Y$7="Engineer",General!$Y$7="Quarian Machinist")),"Yes","No")</f>
        <v>No</v>
      </c>
      <c r="D28" s="470"/>
      <c r="E28" s="469" t="str">
        <f>IF(AND(SUM(Skills!$G$19+Skills!$H$19)&gt;=6,OR(General!$Y$7="Engineer",General!$Y$7="Quarian Machinist")),"Yes","No")</f>
        <v>No</v>
      </c>
      <c r="F28" s="470"/>
      <c r="G28" s="195" t="str">
        <f>IF(AND(SUM(Skills!$G$19+Skills!$H$19)&gt;=8,OR(General!$Y$7="Engineer",General!$Y$7="Quarian Machinist")),"Yes","No")</f>
        <v>No</v>
      </c>
      <c r="H28" s="195" t="str">
        <f>IF(AND(SUM(Skills!$G$19+Skills!$H$19)&gt;=10,OR(General!$Y$7="Engineer",General!$Y$7="Quarian Machinist")),"Yes","No")</f>
        <v>No</v>
      </c>
      <c r="I28" s="195" t="str">
        <f>IF(AND(SUM(Skills!$G$19+Skills!$H$19)&gt;=10,OR(General!$Y$7="Engineer",General!$Y$7="Quarian Machinist")),"Yes","No")</f>
        <v>No</v>
      </c>
      <c r="J28" s="195" t="str">
        <f>IF(AND(SUM(Skills!$G$19+Skills!$H$19)&gt;=12,OR(General!$Y$7="Engineer",General!$Y$7="Quarian Machinist")),"Yes","No")</f>
        <v>No</v>
      </c>
      <c r="K28" s="195" t="str">
        <f>IF(AND(SUM(Skills!$G$19+Skills!$H$19)&gt;=12,OR(General!$Y$7="Engineer",General!$Y$7="Quarian Machinist")),"Yes","No")</f>
        <v>No</v>
      </c>
      <c r="L28" s="195" t="str">
        <f>IF(AND(SUM(Skills!$G$19+Skills!$H$19)&gt;=14,OR(General!$Y$7="Engineer",General!$Y$7="Quarian Machinist")),"Yes","No")</f>
        <v>No</v>
      </c>
      <c r="M28" s="198" t="str">
        <f>IF(AND(SUM(Skills!$G$19+Skills!$H$19)&gt;=14,OR(General!$Y$7="Engineer",General!$Y$7="Quarian Machinist")),"Yes","No")</f>
        <v>No</v>
      </c>
      <c r="N28" s="36"/>
      <c r="O28" s="695" t="s">
        <v>729</v>
      </c>
      <c r="P28" s="696"/>
      <c r="Q28" s="701" t="s">
        <v>437</v>
      </c>
      <c r="R28" s="701" t="s">
        <v>439</v>
      </c>
      <c r="S28" s="701" t="s">
        <v>438</v>
      </c>
      <c r="T28" s="691" t="s">
        <v>440</v>
      </c>
      <c r="U28" s="692"/>
      <c r="V28" s="691" t="s">
        <v>441</v>
      </c>
      <c r="W28" s="692"/>
      <c r="X28" s="691" t="s">
        <v>442</v>
      </c>
      <c r="Y28" s="692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</row>
    <row r="29" spans="1:43" ht="18" customHeight="1" x14ac:dyDescent="0.25">
      <c r="A29" s="691" t="s">
        <v>582</v>
      </c>
      <c r="B29" s="692"/>
      <c r="C29" s="469">
        <v>2</v>
      </c>
      <c r="D29" s="470"/>
      <c r="E29" s="469">
        <v>2</v>
      </c>
      <c r="F29" s="470"/>
      <c r="G29" s="198">
        <v>3</v>
      </c>
      <c r="H29" s="198" t="s">
        <v>53</v>
      </c>
      <c r="I29" s="198" t="s">
        <v>53</v>
      </c>
      <c r="J29" s="155" t="s">
        <v>450</v>
      </c>
      <c r="K29" s="155" t="s">
        <v>450</v>
      </c>
      <c r="L29" s="155" t="s">
        <v>450</v>
      </c>
      <c r="M29" s="155" t="s">
        <v>450</v>
      </c>
      <c r="N29" s="36"/>
      <c r="O29" s="697"/>
      <c r="P29" s="698"/>
      <c r="Q29" s="703"/>
      <c r="R29" s="703"/>
      <c r="S29" s="703"/>
      <c r="T29" s="154" t="s">
        <v>446</v>
      </c>
      <c r="U29" s="152" t="s">
        <v>466</v>
      </c>
      <c r="V29" s="152" t="s">
        <v>453</v>
      </c>
      <c r="W29" s="152" t="s">
        <v>730</v>
      </c>
      <c r="X29" s="154" t="s">
        <v>467</v>
      </c>
      <c r="Y29" s="154" t="s">
        <v>634</v>
      </c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</row>
    <row r="30" spans="1:43" ht="18" customHeight="1" x14ac:dyDescent="0.25">
      <c r="A30" s="691" t="s">
        <v>682</v>
      </c>
      <c r="B30" s="692"/>
      <c r="C30" s="469">
        <v>15</v>
      </c>
      <c r="D30" s="470"/>
      <c r="E30" s="469">
        <v>17</v>
      </c>
      <c r="F30" s="470"/>
      <c r="G30" s="195">
        <v>17</v>
      </c>
      <c r="H30" s="466" t="s">
        <v>517</v>
      </c>
      <c r="I30" s="198" t="s">
        <v>53</v>
      </c>
      <c r="J30" s="198" t="s">
        <v>53</v>
      </c>
      <c r="K30" s="466" t="s">
        <v>517</v>
      </c>
      <c r="L30" s="198" t="s">
        <v>53</v>
      </c>
      <c r="M30" s="198" t="s">
        <v>53</v>
      </c>
      <c r="N30" s="36"/>
      <c r="O30" s="542" t="s">
        <v>248</v>
      </c>
      <c r="P30" s="542"/>
      <c r="Q30" s="101"/>
      <c r="R30" s="335"/>
      <c r="S30" s="335"/>
      <c r="T30" s="334"/>
      <c r="U30" s="202"/>
      <c r="V30" s="334"/>
      <c r="W30" s="202"/>
      <c r="X30" s="334"/>
      <c r="Y30" s="202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ht="18" customHeight="1" x14ac:dyDescent="0.25">
      <c r="A31" s="542" t="s">
        <v>683</v>
      </c>
      <c r="B31" s="542"/>
      <c r="C31" s="536">
        <v>20</v>
      </c>
      <c r="D31" s="538"/>
      <c r="E31" s="536">
        <v>25</v>
      </c>
      <c r="F31" s="538"/>
      <c r="G31" s="196">
        <v>30</v>
      </c>
      <c r="H31" s="155" t="s">
        <v>547</v>
      </c>
      <c r="I31" s="198" t="s">
        <v>53</v>
      </c>
      <c r="J31" s="198" t="s">
        <v>53</v>
      </c>
      <c r="K31" s="155" t="s">
        <v>547</v>
      </c>
      <c r="L31" s="198" t="s">
        <v>53</v>
      </c>
      <c r="M31" s="198" t="s">
        <v>53</v>
      </c>
      <c r="N31" s="36"/>
      <c r="O31" s="542" t="s">
        <v>247</v>
      </c>
      <c r="P31" s="542"/>
      <c r="Q31" s="198" t="str">
        <f>IF(SUM(Skills!$G$16+Skills!$H$16)&gt;=3,"Yes","No")</f>
        <v>No</v>
      </c>
      <c r="R31" s="198" t="str">
        <f>IF(SUM(Skills!$G$16+Skills!$H$16)&gt;=5,"Yes","No")</f>
        <v>No</v>
      </c>
      <c r="S31" s="198" t="str">
        <f>IF(SUM(Skills!$G$16+Skills!$H$16)&gt;=7,"Yes","No")</f>
        <v>No</v>
      </c>
      <c r="T31" s="198" t="str">
        <f>IF(SUM(Skills!$G$16+Skills!$H$16)&gt;=9,"Yes","No")</f>
        <v>No</v>
      </c>
      <c r="U31" s="198" t="str">
        <f>IF(SUM(Skills!$G$16+Skills!$H$16)&gt;=9,"Yes","No")</f>
        <v>No</v>
      </c>
      <c r="V31" s="198" t="str">
        <f>IF(SUM(Skills!$G$16+Skills!$H$16)&gt;=11,"Yes","No")</f>
        <v>No</v>
      </c>
      <c r="W31" s="198" t="str">
        <f>IF(SUM(Skills!$G$16+Skills!$H$16)&gt;=11,"Yes","No")</f>
        <v>No</v>
      </c>
      <c r="X31" s="198" t="str">
        <f>IF(SUM(Skills!$G$16+Skills!$H$16)&gt;=13,"Yes","No")</f>
        <v>No</v>
      </c>
      <c r="Y31" s="198" t="str">
        <f>IF(SUM(Skills!$G$16+Skills!$H$16)&gt;=13,"Yes","No")</f>
        <v>No</v>
      </c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ht="18" customHeight="1" x14ac:dyDescent="0.25">
      <c r="A32" s="691" t="s">
        <v>684</v>
      </c>
      <c r="B32" s="692"/>
      <c r="C32" s="469">
        <v>20</v>
      </c>
      <c r="D32" s="470"/>
      <c r="E32" s="469">
        <v>20</v>
      </c>
      <c r="F32" s="470"/>
      <c r="G32" s="195">
        <v>20</v>
      </c>
      <c r="H32" s="155" t="s">
        <v>547</v>
      </c>
      <c r="I32" s="198" t="s">
        <v>451</v>
      </c>
      <c r="J32" s="198" t="s">
        <v>53</v>
      </c>
      <c r="K32" s="198" t="s">
        <v>53</v>
      </c>
      <c r="L32" s="155" t="s">
        <v>662</v>
      </c>
      <c r="M32" s="198" t="s">
        <v>53</v>
      </c>
      <c r="N32" s="36"/>
      <c r="O32" s="691" t="s">
        <v>582</v>
      </c>
      <c r="P32" s="692"/>
      <c r="Q32" s="198">
        <v>2</v>
      </c>
      <c r="R32" s="198">
        <v>2</v>
      </c>
      <c r="S32" s="198">
        <v>3</v>
      </c>
      <c r="T32" s="155" t="s">
        <v>450</v>
      </c>
      <c r="U32" s="155" t="s">
        <v>450</v>
      </c>
      <c r="V32" s="155" t="s">
        <v>450</v>
      </c>
      <c r="W32" s="155" t="s">
        <v>450</v>
      </c>
      <c r="X32" s="155" t="s">
        <v>450</v>
      </c>
      <c r="Y32" s="155" t="s">
        <v>450</v>
      </c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</row>
    <row r="33" spans="1:43" ht="18" customHeight="1" x14ac:dyDescent="0.25">
      <c r="A33" s="691" t="s">
        <v>685</v>
      </c>
      <c r="B33" s="692"/>
      <c r="C33" s="469">
        <f>2*General!$N$12</f>
        <v>-10</v>
      </c>
      <c r="D33" s="470"/>
      <c r="E33" s="469">
        <f>2*General!$N$12</f>
        <v>-10</v>
      </c>
      <c r="F33" s="470"/>
      <c r="G33" s="195">
        <f>2*General!$N$12</f>
        <v>-10</v>
      </c>
      <c r="H33" s="195">
        <f>3*General!$N$12</f>
        <v>-15</v>
      </c>
      <c r="I33" s="198" t="s">
        <v>53</v>
      </c>
      <c r="J33" s="198" t="s">
        <v>53</v>
      </c>
      <c r="K33" s="155">
        <f>IF(H27="Yes",4*General!$N$12,3*General!$N$12)</f>
        <v>-15</v>
      </c>
      <c r="L33" s="198">
        <f>G33+General!$N$12+IF(H27="Yes",General!$N$12,0)+IF(K27="Yes",General!$N$12,0)</f>
        <v>-15</v>
      </c>
      <c r="M33" s="198" t="s">
        <v>53</v>
      </c>
      <c r="N33" s="36"/>
      <c r="O33" s="691" t="s">
        <v>681</v>
      </c>
      <c r="P33" s="692"/>
      <c r="Q33" s="203">
        <f>10+ROUNDDOWN((Skills!$G$16+Skills!$H$16)/2,0)+General!$N$12</f>
        <v>5</v>
      </c>
      <c r="R33" s="225">
        <f>10+ROUNDDOWN((Skills!$G$16+Skills!$H$16)/2,0)+General!$N$12</f>
        <v>5</v>
      </c>
      <c r="S33" s="225">
        <f>10+ROUNDDOWN((Skills!$G$16+Skills!$H$16)/2,0)+General!$N$12</f>
        <v>5</v>
      </c>
      <c r="T33" s="225">
        <f>10+ROUNDDOWN((Skills!$G$16+Skills!$H$16)/2,0)+General!$N$12</f>
        <v>5</v>
      </c>
      <c r="U33" s="225">
        <f>10+ROUNDDOWN((Skills!$G$16+Skills!$H$16)/2,0)+General!$N$12</f>
        <v>5</v>
      </c>
      <c r="V33" s="225">
        <f>10+ROUNDDOWN((Skills!$G$16+Skills!$H$16)/2,0)+General!$N$12</f>
        <v>5</v>
      </c>
      <c r="W33" s="225">
        <f>10+ROUNDDOWN((Skills!$G$16+Skills!$H$16)/2,0)+General!$N$12</f>
        <v>5</v>
      </c>
      <c r="X33" s="225">
        <f>10+ROUNDDOWN((Skills!$G$16+Skills!$H$16)/2,0)+General!$N$12</f>
        <v>5</v>
      </c>
      <c r="Y33" s="198">
        <f>10+ROUNDDOWN((Skills!$G$16+Skills!$H$16)/2,0)+General!$N$12</f>
        <v>5</v>
      </c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</row>
    <row r="34" spans="1:43" ht="18" customHeight="1" x14ac:dyDescent="0.25">
      <c r="A34" s="691" t="s">
        <v>686</v>
      </c>
      <c r="B34" s="692"/>
      <c r="C34" s="469" t="s">
        <v>510</v>
      </c>
      <c r="D34" s="470"/>
      <c r="E34" s="469" t="s">
        <v>510</v>
      </c>
      <c r="F34" s="470"/>
      <c r="G34" s="195" t="s">
        <v>475</v>
      </c>
      <c r="H34" s="155" t="s">
        <v>470</v>
      </c>
      <c r="I34" s="198" t="s">
        <v>451</v>
      </c>
      <c r="J34" s="198" t="s">
        <v>53</v>
      </c>
      <c r="K34" s="155" t="s">
        <v>470</v>
      </c>
      <c r="L34" s="155" t="s">
        <v>470</v>
      </c>
      <c r="M34" s="198" t="s">
        <v>53</v>
      </c>
      <c r="N34" s="36"/>
      <c r="O34" s="691" t="s">
        <v>249</v>
      </c>
      <c r="P34" s="692"/>
      <c r="Q34" s="203">
        <v>1</v>
      </c>
      <c r="R34" s="203">
        <v>1</v>
      </c>
      <c r="S34" s="203">
        <v>2</v>
      </c>
      <c r="T34" s="205" t="s">
        <v>450</v>
      </c>
      <c r="U34" s="198" t="s">
        <v>53</v>
      </c>
      <c r="V34" s="198" t="s">
        <v>53</v>
      </c>
      <c r="W34" s="155" t="s">
        <v>459</v>
      </c>
      <c r="X34" s="198" t="s">
        <v>53</v>
      </c>
      <c r="Y34" s="155" t="s">
        <v>450</v>
      </c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</row>
    <row r="35" spans="1:43" ht="18" customHeight="1" x14ac:dyDescent="0.25">
      <c r="A35" s="691" t="s">
        <v>449</v>
      </c>
      <c r="B35" s="692"/>
      <c r="C35" s="469">
        <v>4</v>
      </c>
      <c r="D35" s="470"/>
      <c r="E35" s="469">
        <v>3</v>
      </c>
      <c r="F35" s="470"/>
      <c r="G35" s="195">
        <v>3</v>
      </c>
      <c r="H35" s="198" t="s">
        <v>53</v>
      </c>
      <c r="I35" s="198" t="s">
        <v>53</v>
      </c>
      <c r="J35" s="198" t="s">
        <v>53</v>
      </c>
      <c r="K35" s="198" t="s">
        <v>53</v>
      </c>
      <c r="L35" s="198" t="s">
        <v>53</v>
      </c>
      <c r="M35" s="198" t="s">
        <v>53</v>
      </c>
      <c r="N35" s="36"/>
      <c r="O35" s="691" t="s">
        <v>449</v>
      </c>
      <c r="P35" s="692"/>
      <c r="Q35" s="198">
        <v>4</v>
      </c>
      <c r="R35" s="203">
        <v>3</v>
      </c>
      <c r="S35" s="203">
        <v>3</v>
      </c>
      <c r="T35" s="198" t="s">
        <v>53</v>
      </c>
      <c r="U35" s="198" t="s">
        <v>53</v>
      </c>
      <c r="V35" s="155" t="s">
        <v>459</v>
      </c>
      <c r="W35" s="198" t="s">
        <v>53</v>
      </c>
      <c r="X35" s="198" t="s">
        <v>53</v>
      </c>
      <c r="Y35" s="198" t="s">
        <v>53</v>
      </c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ht="18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</row>
    <row r="37" spans="1:43" ht="18" customHeight="1" x14ac:dyDescent="0.25">
      <c r="A37" s="695" t="s">
        <v>705</v>
      </c>
      <c r="B37" s="696"/>
      <c r="C37" s="710" t="s">
        <v>437</v>
      </c>
      <c r="D37" s="711"/>
      <c r="E37" s="710" t="s">
        <v>439</v>
      </c>
      <c r="F37" s="711"/>
      <c r="G37" s="701" t="s">
        <v>438</v>
      </c>
      <c r="H37" s="691" t="s">
        <v>440</v>
      </c>
      <c r="I37" s="692"/>
      <c r="J37" s="691" t="s">
        <v>441</v>
      </c>
      <c r="K37" s="692"/>
      <c r="L37" s="691" t="s">
        <v>442</v>
      </c>
      <c r="M37" s="692"/>
      <c r="N37" s="36"/>
      <c r="O37" s="695" t="s">
        <v>731</v>
      </c>
      <c r="P37" s="696"/>
      <c r="Q37" s="701" t="s">
        <v>437</v>
      </c>
      <c r="R37" s="701" t="s">
        <v>439</v>
      </c>
      <c r="S37" s="701" t="s">
        <v>438</v>
      </c>
      <c r="T37" s="691" t="s">
        <v>440</v>
      </c>
      <c r="U37" s="692"/>
      <c r="V37" s="691" t="s">
        <v>441</v>
      </c>
      <c r="W37" s="692"/>
      <c r="X37" s="691" t="s">
        <v>442</v>
      </c>
      <c r="Y37" s="692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ht="18" customHeight="1" x14ac:dyDescent="0.25">
      <c r="A38" s="697"/>
      <c r="B38" s="698"/>
      <c r="C38" s="712"/>
      <c r="D38" s="713"/>
      <c r="E38" s="712"/>
      <c r="F38" s="713"/>
      <c r="G38" s="703"/>
      <c r="H38" s="154" t="s">
        <v>446</v>
      </c>
      <c r="I38" s="152" t="s">
        <v>466</v>
      </c>
      <c r="J38" s="154" t="s">
        <v>498</v>
      </c>
      <c r="K38" s="152" t="s">
        <v>706</v>
      </c>
      <c r="L38" s="154" t="s">
        <v>453</v>
      </c>
      <c r="M38" s="152" t="s">
        <v>1107</v>
      </c>
      <c r="N38" s="36"/>
      <c r="O38" s="697"/>
      <c r="P38" s="698"/>
      <c r="Q38" s="703"/>
      <c r="R38" s="703"/>
      <c r="S38" s="703"/>
      <c r="T38" s="154" t="s">
        <v>688</v>
      </c>
      <c r="U38" s="152" t="s">
        <v>687</v>
      </c>
      <c r="V38" s="152" t="s">
        <v>732</v>
      </c>
      <c r="W38" s="152" t="s">
        <v>524</v>
      </c>
      <c r="X38" s="154" t="s">
        <v>690</v>
      </c>
      <c r="Y38" s="154" t="s">
        <v>733</v>
      </c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 ht="18" customHeight="1" x14ac:dyDescent="0.25">
      <c r="A39" s="542" t="s">
        <v>248</v>
      </c>
      <c r="B39" s="542"/>
      <c r="C39" s="708"/>
      <c r="D39" s="709"/>
      <c r="E39" s="708"/>
      <c r="F39" s="709"/>
      <c r="G39" s="201"/>
      <c r="H39" s="200"/>
      <c r="I39" s="202"/>
      <c r="J39" s="200"/>
      <c r="K39" s="202"/>
      <c r="L39" s="200"/>
      <c r="M39" s="202"/>
      <c r="N39" s="36"/>
      <c r="O39" s="542" t="s">
        <v>248</v>
      </c>
      <c r="P39" s="542"/>
      <c r="Q39" s="101"/>
      <c r="R39" s="201"/>
      <c r="S39" s="201"/>
      <c r="T39" s="200"/>
      <c r="U39" s="202"/>
      <c r="V39" s="200"/>
      <c r="W39" s="202"/>
      <c r="X39" s="200"/>
      <c r="Y39" s="202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</row>
    <row r="40" spans="1:43" ht="18" customHeight="1" x14ac:dyDescent="0.25">
      <c r="A40" s="542" t="s">
        <v>247</v>
      </c>
      <c r="B40" s="542"/>
      <c r="C40" s="469" t="str">
        <f>IF(SUM(Skills!$G$19+Skills!$H$19)&gt;=3,"Yes","No")</f>
        <v>No</v>
      </c>
      <c r="D40" s="470"/>
      <c r="E40" s="469" t="str">
        <f>IF(SUM(Skills!$G$19+Skills!$H$19)&gt;=5,"Yes","No")</f>
        <v>No</v>
      </c>
      <c r="F40" s="470"/>
      <c r="G40" s="203" t="str">
        <f>IF(SUM(Skills!$G$19+Skills!$H$19)&gt;=7,"Yes","No")</f>
        <v>No</v>
      </c>
      <c r="H40" s="203" t="str">
        <f>IF(SUM(Skills!$G$19+Skills!$H$19)&gt;=9,"Yes","No")</f>
        <v>No</v>
      </c>
      <c r="I40" s="203" t="str">
        <f>IF(SUM(Skills!$G$19+Skills!$H$19)&gt;=9,"Yes","No")</f>
        <v>No</v>
      </c>
      <c r="J40" s="203" t="str">
        <f>IF(SUM(Skills!$G$19+Skills!$H$19)&gt;=11,"Yes","No")</f>
        <v>No</v>
      </c>
      <c r="K40" s="203" t="str">
        <f>IF(SUM(Skills!$G$19+Skills!$H$19)&gt;=11,"Yes","No")</f>
        <v>No</v>
      </c>
      <c r="L40" s="203" t="str">
        <f>IF(SUM(Skills!$G$19+Skills!$H$19)&gt;=13,"Yes","No")</f>
        <v>No</v>
      </c>
      <c r="M40" s="198" t="str">
        <f>IF(SUM(Skills!$G$19+Skills!$H$19)&gt;=13,"Yes","No")</f>
        <v>No</v>
      </c>
      <c r="N40" s="36"/>
      <c r="O40" s="542" t="s">
        <v>247</v>
      </c>
      <c r="P40" s="542"/>
      <c r="Q40" s="198" t="str">
        <f>IF(AND(SUM(Skills!$G$19+Skills!$H$19)&gt;=5,OR(General!$Y$7="Engineer",General!$Y$7="Quarian Machinist")),"Yes","No")</f>
        <v>No</v>
      </c>
      <c r="R40" s="198" t="str">
        <f>IF(AND(SUM(Skills!$G$19+Skills!$H$19)&gt;=7,OR(General!$Y$7="Engineer",General!$Y$7="Quarian Machinist")),"Yes","No")</f>
        <v>No</v>
      </c>
      <c r="S40" s="198" t="str">
        <f>IF(AND(SUM(Skills!$G$19+Skills!$H$19)&gt;=9,OR(General!$Y$7="Engineer",General!$Y$7="Quarian Machinist")),"Yes","No")</f>
        <v>No</v>
      </c>
      <c r="T40" s="198" t="str">
        <f>IF(AND(SUM(Skills!$G$19+Skills!$H$19)&gt;=11,OR(General!$Y$7="Engineer",General!$Y$7="Quarian Machinist")),"Yes","No")</f>
        <v>No</v>
      </c>
      <c r="U40" s="198" t="str">
        <f>IF(AND(SUM(Skills!$G$19+Skills!$H$19)&gt;=11,OR(General!$Y$7="Engineer",General!$Y$7="Quarian Machinist")),"Yes","No")</f>
        <v>No</v>
      </c>
      <c r="V40" s="198" t="str">
        <f>IF(AND(SUM(Skills!$G$19+Skills!$H$19)&gt;=16,OR(General!$Y$7="Engineer",General!$Y$7="Quarian Machinist")),"Yes","No")</f>
        <v>No</v>
      </c>
      <c r="W40" s="198" t="str">
        <f>IF(AND(SUM(Skills!$G$19+Skills!$H$19)&gt;=16,OR(General!$Y$7="Engineer",General!$Y$7="Quarian Machinist")),"Yes","No")</f>
        <v>No</v>
      </c>
      <c r="X40" s="198" t="str">
        <f>IF(AND(SUM(Skills!$G$19+Skills!$H$19)&gt;=15,OR(General!$Y$7="Engineer",General!$Y$7="Quarian Machinist")),"Yes","No")</f>
        <v>No</v>
      </c>
      <c r="Y40" s="198" t="str">
        <f>IF(AND(SUM(Skills!$G$19+Skills!$H$19)&gt;=15,OR(General!$Y$7="Engineer",General!$Y$7="Quarian Machinist")),"Yes","No")</f>
        <v>No</v>
      </c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</row>
    <row r="41" spans="1:43" ht="18" customHeight="1" x14ac:dyDescent="0.25">
      <c r="A41" s="691" t="s">
        <v>582</v>
      </c>
      <c r="B41" s="692"/>
      <c r="C41" s="469">
        <v>2</v>
      </c>
      <c r="D41" s="470"/>
      <c r="E41" s="469">
        <v>2</v>
      </c>
      <c r="F41" s="470"/>
      <c r="G41" s="198">
        <v>3</v>
      </c>
      <c r="H41" s="155" t="s">
        <v>450</v>
      </c>
      <c r="I41" s="155" t="s">
        <v>450</v>
      </c>
      <c r="J41" s="198" t="s">
        <v>53</v>
      </c>
      <c r="K41" s="198" t="s">
        <v>53</v>
      </c>
      <c r="L41" s="155" t="s">
        <v>450</v>
      </c>
      <c r="M41" s="155" t="s">
        <v>450</v>
      </c>
      <c r="N41" s="36"/>
      <c r="O41" s="691" t="s">
        <v>582</v>
      </c>
      <c r="P41" s="692"/>
      <c r="Q41" s="198">
        <v>1</v>
      </c>
      <c r="R41" s="198">
        <v>1</v>
      </c>
      <c r="S41" s="198">
        <v>2</v>
      </c>
      <c r="T41" s="155" t="s">
        <v>450</v>
      </c>
      <c r="U41" s="155" t="s">
        <v>450</v>
      </c>
      <c r="V41" s="155" t="s">
        <v>450</v>
      </c>
      <c r="W41" s="155" t="s">
        <v>450</v>
      </c>
      <c r="X41" s="155" t="s">
        <v>450</v>
      </c>
      <c r="Y41" s="155" t="s">
        <v>450</v>
      </c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</row>
    <row r="42" spans="1:43" ht="18" customHeight="1" x14ac:dyDescent="0.25">
      <c r="A42" s="691" t="s">
        <v>474</v>
      </c>
      <c r="B42" s="692"/>
      <c r="C42" s="469">
        <f>10+ROUNDDOWN(SUM(Skills!$G$19+Skills!$H$19)/2,0)+General!$N$12</f>
        <v>5</v>
      </c>
      <c r="D42" s="470"/>
      <c r="E42" s="469">
        <f>10+ROUNDDOWN(SUM(Skills!$G$19+Skills!$H$19)/2,0)+General!$N$12</f>
        <v>5</v>
      </c>
      <c r="F42" s="470"/>
      <c r="G42" s="203">
        <f>10+ROUNDDOWN(SUM(Skills!$G$19+Skills!$H$19)/2,0)+General!$N$12</f>
        <v>5</v>
      </c>
      <c r="H42" s="203">
        <f>10+ROUNDDOWN(SUM(Skills!$G$19+Skills!$H$19)/2,0)+General!$N$12</f>
        <v>5</v>
      </c>
      <c r="I42" s="203">
        <f>10+ROUNDDOWN(SUM(Skills!$G$19+Skills!$H$19)/2,0)+General!$N$12</f>
        <v>5</v>
      </c>
      <c r="J42" s="203">
        <f>10+ROUNDDOWN(SUM(Skills!$G$19+Skills!$H$19)/2,0)+General!$N$12</f>
        <v>5</v>
      </c>
      <c r="K42" s="203">
        <f>10+ROUNDDOWN(SUM(Skills!$G$19+Skills!$H$19)/2,0)+General!$N$12</f>
        <v>5</v>
      </c>
      <c r="L42" s="203">
        <f>10+ROUNDDOWN(SUM(Skills!$G$19+Skills!$H$19)/2,0)+General!$N$12</f>
        <v>5</v>
      </c>
      <c r="M42" s="198">
        <f>10+ROUNDDOWN(SUM(Skills!$G$19+Skills!$H$19)/2,0)+General!$N$12</f>
        <v>5</v>
      </c>
      <c r="N42" s="36"/>
      <c r="O42" s="691" t="s">
        <v>734</v>
      </c>
      <c r="P42" s="692"/>
      <c r="Q42" s="203">
        <v>10</v>
      </c>
      <c r="R42" s="203">
        <v>10</v>
      </c>
      <c r="S42" s="203">
        <v>10</v>
      </c>
      <c r="T42" s="198" t="s">
        <v>53</v>
      </c>
      <c r="U42" s="198" t="s">
        <v>53</v>
      </c>
      <c r="V42" s="198" t="s">
        <v>53</v>
      </c>
      <c r="W42" s="198" t="s">
        <v>53</v>
      </c>
      <c r="X42" s="198" t="s">
        <v>53</v>
      </c>
      <c r="Y42" s="198" t="s">
        <v>53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 ht="18" customHeight="1" x14ac:dyDescent="0.25">
      <c r="A43" s="691" t="s">
        <v>249</v>
      </c>
      <c r="B43" s="692"/>
      <c r="C43" s="536">
        <v>1</v>
      </c>
      <c r="D43" s="538"/>
      <c r="E43" s="536">
        <v>1</v>
      </c>
      <c r="F43" s="538"/>
      <c r="G43" s="204">
        <v>1</v>
      </c>
      <c r="H43" s="155" t="s">
        <v>450</v>
      </c>
      <c r="I43" s="198" t="s">
        <v>53</v>
      </c>
      <c r="J43" s="198" t="s">
        <v>53</v>
      </c>
      <c r="K43" s="198" t="s">
        <v>53</v>
      </c>
      <c r="L43" s="198" t="s">
        <v>53</v>
      </c>
      <c r="M43" s="198" t="s">
        <v>53</v>
      </c>
      <c r="N43" s="36"/>
      <c r="O43" s="542" t="s">
        <v>735</v>
      </c>
      <c r="P43" s="542"/>
      <c r="Q43" s="203">
        <v>30</v>
      </c>
      <c r="R43" s="203">
        <v>35</v>
      </c>
      <c r="S43" s="203">
        <v>40</v>
      </c>
      <c r="T43" s="205" t="s">
        <v>547</v>
      </c>
      <c r="U43" s="198" t="s">
        <v>53</v>
      </c>
      <c r="V43" s="198" t="s">
        <v>53</v>
      </c>
      <c r="W43" s="198" t="s">
        <v>53</v>
      </c>
      <c r="X43" s="198" t="s">
        <v>53</v>
      </c>
      <c r="Y43" s="198" t="s">
        <v>53</v>
      </c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ht="18" customHeight="1" x14ac:dyDescent="0.25">
      <c r="A44" s="691" t="s">
        <v>545</v>
      </c>
      <c r="B44" s="692"/>
      <c r="C44" s="469">
        <v>5</v>
      </c>
      <c r="D44" s="470"/>
      <c r="E44" s="469">
        <v>5</v>
      </c>
      <c r="F44" s="470"/>
      <c r="G44" s="203">
        <v>10</v>
      </c>
      <c r="H44" s="198" t="s">
        <v>53</v>
      </c>
      <c r="I44" s="198" t="s">
        <v>53</v>
      </c>
      <c r="J44" s="155" t="s">
        <v>708</v>
      </c>
      <c r="K44" s="198" t="s">
        <v>53</v>
      </c>
      <c r="L44" s="198" t="s">
        <v>53</v>
      </c>
      <c r="M44" s="198" t="s">
        <v>53</v>
      </c>
      <c r="N44" s="36"/>
      <c r="O44" s="691" t="s">
        <v>736</v>
      </c>
      <c r="P44" s="692"/>
      <c r="Q44" s="198">
        <v>50</v>
      </c>
      <c r="R44" s="203">
        <v>50</v>
      </c>
      <c r="S44" s="203">
        <v>50</v>
      </c>
      <c r="T44" s="198" t="s">
        <v>53</v>
      </c>
      <c r="U44" s="198" t="s">
        <v>53</v>
      </c>
      <c r="V44" s="198" t="s">
        <v>53</v>
      </c>
      <c r="W44" s="198" t="s">
        <v>53</v>
      </c>
      <c r="X44" s="155" t="s">
        <v>662</v>
      </c>
      <c r="Y44" s="155" t="s">
        <v>740</v>
      </c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</row>
    <row r="45" spans="1:43" ht="18" customHeight="1" x14ac:dyDescent="0.25">
      <c r="A45" s="691" t="s">
        <v>466</v>
      </c>
      <c r="B45" s="692"/>
      <c r="C45" s="469" t="s">
        <v>472</v>
      </c>
      <c r="D45" s="470"/>
      <c r="E45" s="469" t="s">
        <v>472</v>
      </c>
      <c r="F45" s="470"/>
      <c r="G45" s="203" t="s">
        <v>472</v>
      </c>
      <c r="H45" s="198" t="s">
        <v>53</v>
      </c>
      <c r="I45" s="198" t="s">
        <v>707</v>
      </c>
      <c r="J45" s="198" t="s">
        <v>53</v>
      </c>
      <c r="K45" s="198" t="s">
        <v>53</v>
      </c>
      <c r="L45" s="198" t="s">
        <v>53</v>
      </c>
      <c r="M45" s="198" t="s">
        <v>53</v>
      </c>
      <c r="N45" s="36"/>
      <c r="O45" s="691" t="s">
        <v>737</v>
      </c>
      <c r="P45" s="692"/>
      <c r="Q45" s="198">
        <f>2*General!$N$12</f>
        <v>-10</v>
      </c>
      <c r="R45" s="198">
        <f>2*General!$N$12</f>
        <v>-10</v>
      </c>
      <c r="S45" s="198">
        <f>2*General!$N$12</f>
        <v>-10</v>
      </c>
      <c r="T45" s="198">
        <f>3*General!$N$12</f>
        <v>-15</v>
      </c>
      <c r="U45" s="198" t="s">
        <v>53</v>
      </c>
      <c r="V45" s="198" t="s">
        <v>53</v>
      </c>
      <c r="W45" s="198" t="s">
        <v>53</v>
      </c>
      <c r="X45" s="155">
        <f>3*General!$N$12+IF(T39="Yes",General!$N$12,0)</f>
        <v>-15</v>
      </c>
      <c r="Y45" s="198" t="s">
        <v>451</v>
      </c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</row>
    <row r="46" spans="1:43" ht="18" customHeight="1" x14ac:dyDescent="0.25">
      <c r="A46" s="691" t="s">
        <v>449</v>
      </c>
      <c r="B46" s="692"/>
      <c r="C46" s="469">
        <v>4</v>
      </c>
      <c r="D46" s="470"/>
      <c r="E46" s="469">
        <v>3</v>
      </c>
      <c r="F46" s="470"/>
      <c r="G46" s="203">
        <v>3</v>
      </c>
      <c r="H46" s="198" t="s">
        <v>53</v>
      </c>
      <c r="I46" s="198" t="s">
        <v>53</v>
      </c>
      <c r="J46" s="198" t="s">
        <v>53</v>
      </c>
      <c r="K46" s="198" t="s">
        <v>53</v>
      </c>
      <c r="L46" s="155" t="s">
        <v>459</v>
      </c>
      <c r="M46" s="198" t="s">
        <v>53</v>
      </c>
      <c r="N46" s="36"/>
      <c r="O46" s="691" t="s">
        <v>738</v>
      </c>
      <c r="P46" s="692"/>
      <c r="Q46" s="203" t="s">
        <v>1807</v>
      </c>
      <c r="R46" s="203" t="s">
        <v>1807</v>
      </c>
      <c r="S46" s="203" t="s">
        <v>1808</v>
      </c>
      <c r="T46" s="465" t="s">
        <v>1809</v>
      </c>
      <c r="U46" s="198" t="s">
        <v>53</v>
      </c>
      <c r="V46" s="203" t="s">
        <v>451</v>
      </c>
      <c r="W46" s="203" t="s">
        <v>451</v>
      </c>
      <c r="X46" s="465" t="s">
        <v>1809</v>
      </c>
      <c r="Y46" s="198" t="s">
        <v>451</v>
      </c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</row>
    <row r="47" spans="1:43" ht="18" customHeigh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691" t="s">
        <v>449</v>
      </c>
      <c r="P47" s="692"/>
      <c r="Q47" s="203">
        <v>4</v>
      </c>
      <c r="R47" s="203">
        <v>3</v>
      </c>
      <c r="S47" s="203">
        <v>3</v>
      </c>
      <c r="T47" s="198" t="s">
        <v>53</v>
      </c>
      <c r="U47" s="198" t="s">
        <v>53</v>
      </c>
      <c r="V47" s="198" t="s">
        <v>53</v>
      </c>
      <c r="W47" s="198" t="s">
        <v>53</v>
      </c>
      <c r="X47" s="198" t="s">
        <v>53</v>
      </c>
      <c r="Y47" s="198" t="s">
        <v>53</v>
      </c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</row>
    <row r="48" spans="1:43" ht="18" customHeight="1" x14ac:dyDescent="0.25">
      <c r="A48" s="695" t="s">
        <v>695</v>
      </c>
      <c r="B48" s="696"/>
      <c r="C48" s="710" t="s">
        <v>437</v>
      </c>
      <c r="D48" s="711"/>
      <c r="E48" s="710" t="s">
        <v>439</v>
      </c>
      <c r="F48" s="711"/>
      <c r="G48" s="701" t="s">
        <v>438</v>
      </c>
      <c r="H48" s="691" t="s">
        <v>440</v>
      </c>
      <c r="I48" s="692"/>
      <c r="J48" s="691" t="s">
        <v>441</v>
      </c>
      <c r="K48" s="692"/>
      <c r="L48" s="691" t="s">
        <v>442</v>
      </c>
      <c r="M48" s="692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 ht="30" customHeight="1" x14ac:dyDescent="0.25">
      <c r="A49" s="697"/>
      <c r="B49" s="698"/>
      <c r="C49" s="712"/>
      <c r="D49" s="713"/>
      <c r="E49" s="712"/>
      <c r="F49" s="713"/>
      <c r="G49" s="703"/>
      <c r="H49" s="154" t="s">
        <v>446</v>
      </c>
      <c r="I49" s="152" t="s">
        <v>692</v>
      </c>
      <c r="J49" s="154" t="s">
        <v>693</v>
      </c>
      <c r="K49" s="152" t="s">
        <v>694</v>
      </c>
      <c r="L49" s="154" t="s">
        <v>468</v>
      </c>
      <c r="M49" s="152" t="s">
        <v>691</v>
      </c>
      <c r="N49" s="36"/>
      <c r="O49" s="695" t="s">
        <v>1124</v>
      </c>
      <c r="P49" s="696"/>
      <c r="Q49" s="701" t="s">
        <v>437</v>
      </c>
      <c r="R49" s="701" t="s">
        <v>439</v>
      </c>
      <c r="S49" s="701" t="s">
        <v>438</v>
      </c>
      <c r="T49" s="691" t="s">
        <v>440</v>
      </c>
      <c r="U49" s="692"/>
      <c r="V49" s="691" t="s">
        <v>441</v>
      </c>
      <c r="W49" s="692"/>
      <c r="X49" s="691" t="s">
        <v>442</v>
      </c>
      <c r="Y49" s="692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ht="18" customHeight="1" x14ac:dyDescent="0.25">
      <c r="A50" s="542" t="s">
        <v>248</v>
      </c>
      <c r="B50" s="542"/>
      <c r="C50" s="708"/>
      <c r="D50" s="709"/>
      <c r="E50" s="708"/>
      <c r="F50" s="709"/>
      <c r="G50" s="335"/>
      <c r="H50" s="334"/>
      <c r="I50" s="194"/>
      <c r="J50" s="191"/>
      <c r="K50" s="336"/>
      <c r="L50" s="191"/>
      <c r="M50" s="336"/>
      <c r="N50" s="36"/>
      <c r="O50" s="697"/>
      <c r="P50" s="698"/>
      <c r="Q50" s="703"/>
      <c r="R50" s="703"/>
      <c r="S50" s="703"/>
      <c r="T50" s="154" t="s">
        <v>1125</v>
      </c>
      <c r="U50" s="152" t="s">
        <v>1126</v>
      </c>
      <c r="V50" s="152" t="s">
        <v>1127</v>
      </c>
      <c r="W50" s="152" t="s">
        <v>1128</v>
      </c>
      <c r="X50" s="154" t="s">
        <v>1129</v>
      </c>
      <c r="Y50" s="154" t="s">
        <v>1130</v>
      </c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</row>
    <row r="51" spans="1:43" ht="18" customHeight="1" x14ac:dyDescent="0.25">
      <c r="A51" s="542" t="s">
        <v>247</v>
      </c>
      <c r="B51" s="542"/>
      <c r="C51" s="469" t="str">
        <f>IF(AND(SUM(Skills!$G$19+Skills!$H$19)&gt;=4,General!$Y$7="Quarian Machinist"),"Yes","No")</f>
        <v>No</v>
      </c>
      <c r="D51" s="470"/>
      <c r="E51" s="469" t="str">
        <f>IF(AND(SUM(Skills!$G$19+Skills!$H$19)&gt;=6,General!$Y$7="Quarian Machinist"),"Yes","No")</f>
        <v>No</v>
      </c>
      <c r="F51" s="470"/>
      <c r="G51" s="195" t="str">
        <f>IF(AND(SUM(Skills!$G$19+Skills!$H$19)&gt;=8,General!$Y$7="Quarian Machinist"),"Yes","No")</f>
        <v>No</v>
      </c>
      <c r="H51" s="195" t="str">
        <f>IF(AND(SUM(Skills!$G$19+Skills!$H$19)&gt;=10,General!$Y$7="Quarian Machinist"),"Yes","No")</f>
        <v>No</v>
      </c>
      <c r="I51" s="195" t="str">
        <f>IF(AND(SUM(Skills!$G$19+Skills!$H$19)&gt;=10,General!$Y$7="Quarian Machinist"),"Yes","No")</f>
        <v>No</v>
      </c>
      <c r="J51" s="195" t="str">
        <f>IF(AND(SUM(Skills!$G$19+Skills!$H$19)&gt;=12,General!$Y$7="Quarian Machinist"),"Yes","No")</f>
        <v>No</v>
      </c>
      <c r="K51" s="195" t="str">
        <f>IF(AND(SUM(Skills!$G$19+Skills!$H$19)&gt;=12,General!$Y$7="Quarian Machinist"),"Yes","No")</f>
        <v>No</v>
      </c>
      <c r="L51" s="195" t="str">
        <f>IF(AND(SUM(Skills!$G$19+Skills!$H$19)&gt;=14,General!$Y$7="Quarian Machinist"),"Yes","No")</f>
        <v>No</v>
      </c>
      <c r="M51" s="198" t="str">
        <f>IF(AND(SUM(Skills!$G$19+Skills!$H$19)&gt;=14,General!$Y$7="Quarian Machinist"),"Yes","No")</f>
        <v>No</v>
      </c>
      <c r="N51" s="36"/>
      <c r="O51" s="542" t="s">
        <v>248</v>
      </c>
      <c r="P51" s="542"/>
      <c r="Q51" s="101"/>
      <c r="R51" s="273"/>
      <c r="S51" s="273"/>
      <c r="T51" s="271"/>
      <c r="U51" s="274"/>
      <c r="V51" s="271"/>
      <c r="W51" s="274"/>
      <c r="X51" s="271"/>
      <c r="Y51" s="274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</row>
    <row r="52" spans="1:43" ht="18" customHeight="1" x14ac:dyDescent="0.25">
      <c r="A52" s="691" t="s">
        <v>582</v>
      </c>
      <c r="B52" s="692"/>
      <c r="C52" s="469">
        <v>2</v>
      </c>
      <c r="D52" s="470"/>
      <c r="E52" s="469">
        <v>2</v>
      </c>
      <c r="F52" s="470"/>
      <c r="G52" s="198">
        <v>3</v>
      </c>
      <c r="H52" s="198" t="s">
        <v>53</v>
      </c>
      <c r="I52" s="198" t="s">
        <v>53</v>
      </c>
      <c r="J52" s="155" t="s">
        <v>450</v>
      </c>
      <c r="K52" s="155" t="s">
        <v>450</v>
      </c>
      <c r="L52" s="155" t="s">
        <v>450</v>
      </c>
      <c r="M52" s="155" t="s">
        <v>450</v>
      </c>
      <c r="N52" s="36"/>
      <c r="O52" s="542" t="s">
        <v>247</v>
      </c>
      <c r="P52" s="542"/>
      <c r="Q52" s="270" t="str">
        <f>IF(AND(SUM(Skills!$G$19+Skills!$H$19)&gt;=3,Feats!$B$29&gt;=1),"Yes","No")</f>
        <v>No</v>
      </c>
      <c r="R52" s="270" t="str">
        <f>IF(AND(SUM(Skills!$G$19+Skills!$H$19)&gt;=5,Feats!$B$29&gt;=1),"Yes","No")</f>
        <v>No</v>
      </c>
      <c r="S52" s="270" t="str">
        <f>IF(AND(SUM(Skills!$G$19+Skills!$H$19)&gt;=7,Feats!$B$29&gt;=1),"Yes","No")</f>
        <v>No</v>
      </c>
      <c r="T52" s="270" t="str">
        <f>IF(AND(SUM(Skills!$G$19+Skills!$H$19)&gt;=9,Feats!$B$29&gt;=1),"Yes","No")</f>
        <v>No</v>
      </c>
      <c r="U52" s="270" t="str">
        <f>IF(AND(SUM(Skills!$G$19+Skills!$H$19)&gt;=9,Feats!$B$29&gt;=1),"Yes","No")</f>
        <v>No</v>
      </c>
      <c r="V52" s="270" t="str">
        <f>IF(AND(SUM(Skills!$G$19+Skills!$H$19)&gt;=11,Feats!$B$29&gt;=1),"Yes","No")</f>
        <v>No</v>
      </c>
      <c r="W52" s="270" t="str">
        <f>IF(AND(SUM(Skills!$G$19+Skills!$H$19)&gt;=11,Feats!$B$29&gt;=1),"Yes","No")</f>
        <v>No</v>
      </c>
      <c r="X52" s="270" t="str">
        <f>IF(AND(SUM(Skills!$G$19+Skills!$H$19)&gt;=13,Feats!$B$29&gt;=1),"Yes","No")</f>
        <v>No</v>
      </c>
      <c r="Y52" s="270" t="str">
        <f>IF(AND(SUM(Skills!$G$19+Skills!$H$19)&gt;=13,Feats!$B$29&gt;=1),"Yes","No")</f>
        <v>No</v>
      </c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</row>
    <row r="53" spans="1:43" ht="18" customHeight="1" x14ac:dyDescent="0.25">
      <c r="A53" s="691" t="s">
        <v>684</v>
      </c>
      <c r="B53" s="692"/>
      <c r="C53" s="469">
        <v>15</v>
      </c>
      <c r="D53" s="470"/>
      <c r="E53" s="469">
        <v>15</v>
      </c>
      <c r="F53" s="470"/>
      <c r="G53" s="195">
        <v>15</v>
      </c>
      <c r="H53" s="198" t="s">
        <v>53</v>
      </c>
      <c r="I53" s="155" t="s">
        <v>482</v>
      </c>
      <c r="J53" s="198" t="s">
        <v>53</v>
      </c>
      <c r="K53" s="155" t="s">
        <v>482</v>
      </c>
      <c r="L53" s="198" t="s">
        <v>53</v>
      </c>
      <c r="M53" s="198" t="s">
        <v>53</v>
      </c>
      <c r="N53" s="36"/>
      <c r="O53" s="691" t="s">
        <v>1131</v>
      </c>
      <c r="P53" s="692"/>
      <c r="Q53" s="270">
        <v>2</v>
      </c>
      <c r="R53" s="270">
        <v>2</v>
      </c>
      <c r="S53" s="270">
        <v>3</v>
      </c>
      <c r="T53" s="275" t="s">
        <v>450</v>
      </c>
      <c r="U53" s="275" t="s">
        <v>450</v>
      </c>
      <c r="V53" s="270" t="s">
        <v>53</v>
      </c>
      <c r="W53" s="270" t="s">
        <v>53</v>
      </c>
      <c r="X53" s="275" t="s">
        <v>450</v>
      </c>
      <c r="Y53" s="275" t="s">
        <v>450</v>
      </c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</row>
    <row r="54" spans="1:43" ht="18" customHeight="1" x14ac:dyDescent="0.25">
      <c r="A54" s="691" t="s">
        <v>685</v>
      </c>
      <c r="B54" s="692"/>
      <c r="C54" s="536">
        <f>2*General!$N$12</f>
        <v>-10</v>
      </c>
      <c r="D54" s="538"/>
      <c r="E54" s="536">
        <f>2*General!$N$12</f>
        <v>-10</v>
      </c>
      <c r="F54" s="538"/>
      <c r="G54" s="196">
        <f>2*General!$N$12</f>
        <v>-10</v>
      </c>
      <c r="H54" s="198" t="s">
        <v>53</v>
      </c>
      <c r="I54" s="198" t="s">
        <v>53</v>
      </c>
      <c r="J54" s="198" t="s">
        <v>53</v>
      </c>
      <c r="K54" s="198" t="s">
        <v>53</v>
      </c>
      <c r="L54" s="198" t="s">
        <v>53</v>
      </c>
      <c r="M54" s="198" t="s">
        <v>53</v>
      </c>
      <c r="N54" s="36"/>
      <c r="O54" s="691" t="s">
        <v>1142</v>
      </c>
      <c r="P54" s="692"/>
      <c r="Q54" s="270">
        <f>10+ROUNDDOWN(SUM(Skills!$G$19+Skills!$H$19)/2,0)+General!$N$12</f>
        <v>5</v>
      </c>
      <c r="R54" s="270">
        <f>10+ROUNDDOWN(SUM(Skills!$G$19+Skills!$H$19)/2,0)+General!$N$12</f>
        <v>5</v>
      </c>
      <c r="S54" s="270">
        <f>10+ROUNDDOWN(SUM(Skills!$G$19+Skills!$H$19)/2,0)+General!$N$12</f>
        <v>5</v>
      </c>
      <c r="T54" s="270">
        <f>10+ROUNDDOWN(SUM(Skills!$G$19+Skills!$H$19)/2,0)+General!$N$12</f>
        <v>5</v>
      </c>
      <c r="U54" s="270">
        <f>10+ROUNDDOWN(SUM(Skills!$G$19+Skills!$H$19)/2,0)+General!$N$12</f>
        <v>5</v>
      </c>
      <c r="V54" s="270">
        <f>10+ROUNDDOWN(SUM(Skills!$G$19+Skills!$H$19)/2,0)+General!$N$12</f>
        <v>5</v>
      </c>
      <c r="W54" s="270">
        <f>10+ROUNDDOWN(SUM(Skills!$G$19+Skills!$H$19)/2,0)+General!$N$12</f>
        <v>5</v>
      </c>
      <c r="X54" s="270">
        <f>10+ROUNDDOWN(SUM(Skills!$G$19+Skills!$H$19)/2,0)+General!$N$12</f>
        <v>5</v>
      </c>
      <c r="Y54" s="270">
        <f>10+ROUNDDOWN(SUM(Skills!$G$19+Skills!$H$19)/2,0)+General!$N$12</f>
        <v>5</v>
      </c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</row>
    <row r="55" spans="1:43" ht="18" customHeight="1" x14ac:dyDescent="0.25">
      <c r="A55" s="691" t="s">
        <v>686</v>
      </c>
      <c r="B55" s="692"/>
      <c r="C55" s="469" t="s">
        <v>1800</v>
      </c>
      <c r="D55" s="470"/>
      <c r="E55" s="469" t="s">
        <v>1800</v>
      </c>
      <c r="F55" s="470"/>
      <c r="G55" s="195" t="s">
        <v>1801</v>
      </c>
      <c r="H55" s="198" t="s">
        <v>53</v>
      </c>
      <c r="I55" s="198" t="s">
        <v>53</v>
      </c>
      <c r="J55" s="198" t="s">
        <v>53</v>
      </c>
      <c r="K55" s="466" t="s">
        <v>1802</v>
      </c>
      <c r="L55" s="198" t="s">
        <v>53</v>
      </c>
      <c r="M55" s="198" t="s">
        <v>53</v>
      </c>
      <c r="N55" s="36"/>
      <c r="O55" s="691" t="s">
        <v>1132</v>
      </c>
      <c r="P55" s="692"/>
      <c r="Q55" s="270">
        <v>1</v>
      </c>
      <c r="R55" s="270">
        <v>2</v>
      </c>
      <c r="S55" s="270">
        <v>2</v>
      </c>
      <c r="T55" s="275" t="s">
        <v>450</v>
      </c>
      <c r="U55" s="270" t="s">
        <v>53</v>
      </c>
      <c r="V55" s="275" t="s">
        <v>450</v>
      </c>
      <c r="W55" s="270" t="s">
        <v>53</v>
      </c>
      <c r="X55" s="270" t="s">
        <v>53</v>
      </c>
      <c r="Y55" s="270" t="s">
        <v>53</v>
      </c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</row>
    <row r="56" spans="1:43" ht="18" customHeight="1" x14ac:dyDescent="0.25">
      <c r="A56" s="691" t="s">
        <v>249</v>
      </c>
      <c r="B56" s="692"/>
      <c r="C56" s="469">
        <v>10</v>
      </c>
      <c r="D56" s="470"/>
      <c r="E56" s="469">
        <v>10</v>
      </c>
      <c r="F56" s="470"/>
      <c r="G56" s="195">
        <v>10</v>
      </c>
      <c r="H56" s="197" t="s">
        <v>547</v>
      </c>
      <c r="I56" s="198" t="s">
        <v>53</v>
      </c>
      <c r="J56" s="198" t="s">
        <v>53</v>
      </c>
      <c r="K56" s="198" t="s">
        <v>53</v>
      </c>
      <c r="L56" s="198" t="s">
        <v>53</v>
      </c>
      <c r="M56" s="198" t="s">
        <v>53</v>
      </c>
      <c r="N56" s="36"/>
      <c r="O56" s="691" t="s">
        <v>1037</v>
      </c>
      <c r="P56" s="692"/>
      <c r="Q56" s="270" t="s">
        <v>509</v>
      </c>
      <c r="R56" s="270" t="s">
        <v>509</v>
      </c>
      <c r="S56" s="270" t="s">
        <v>510</v>
      </c>
      <c r="T56" s="270" t="s">
        <v>53</v>
      </c>
      <c r="U56" s="270" t="s">
        <v>53</v>
      </c>
      <c r="V56" s="270" t="s">
        <v>53</v>
      </c>
      <c r="W56" s="270" t="s">
        <v>739</v>
      </c>
      <c r="X56" s="270" t="s">
        <v>53</v>
      </c>
      <c r="Y56" s="270" t="s">
        <v>53</v>
      </c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</row>
    <row r="57" spans="1:43" ht="18" customHeight="1" x14ac:dyDescent="0.25">
      <c r="A57" s="691" t="s">
        <v>449</v>
      </c>
      <c r="B57" s="692"/>
      <c r="C57" s="469">
        <v>2</v>
      </c>
      <c r="D57" s="470"/>
      <c r="E57" s="469">
        <v>1</v>
      </c>
      <c r="F57" s="470"/>
      <c r="G57" s="195">
        <v>1</v>
      </c>
      <c r="H57" s="198" t="s">
        <v>53</v>
      </c>
      <c r="I57" s="198" t="s">
        <v>53</v>
      </c>
      <c r="J57" s="198" t="s">
        <v>53</v>
      </c>
      <c r="K57" s="198" t="s">
        <v>53</v>
      </c>
      <c r="L57" s="198" t="s">
        <v>53</v>
      </c>
      <c r="M57" s="198" t="s">
        <v>53</v>
      </c>
      <c r="N57" s="36"/>
      <c r="O57" s="691" t="s">
        <v>1134</v>
      </c>
      <c r="P57" s="692"/>
      <c r="Q57" s="270">
        <v>5</v>
      </c>
      <c r="R57" s="270">
        <v>5</v>
      </c>
      <c r="S57" s="270">
        <v>5</v>
      </c>
      <c r="T57" s="270" t="s">
        <v>53</v>
      </c>
      <c r="U57" s="270" t="s">
        <v>53</v>
      </c>
      <c r="V57" s="270" t="s">
        <v>53</v>
      </c>
      <c r="W57" s="270">
        <v>10</v>
      </c>
      <c r="X57" s="270" t="s">
        <v>53</v>
      </c>
      <c r="Y57" s="270" t="s">
        <v>53</v>
      </c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</row>
    <row r="58" spans="1:43" ht="18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691" t="s">
        <v>1041</v>
      </c>
      <c r="P58" s="692"/>
      <c r="Q58" s="270">
        <v>2</v>
      </c>
      <c r="R58" s="270">
        <v>2</v>
      </c>
      <c r="S58" s="270">
        <v>2</v>
      </c>
      <c r="T58" s="270" t="s">
        <v>53</v>
      </c>
      <c r="U58" s="275" t="s">
        <v>459</v>
      </c>
      <c r="V58" s="270" t="s">
        <v>53</v>
      </c>
      <c r="W58" s="270" t="s">
        <v>53</v>
      </c>
      <c r="X58" s="270" t="s">
        <v>53</v>
      </c>
      <c r="Y58" s="270" t="s">
        <v>53</v>
      </c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</row>
    <row r="59" spans="1:43" ht="18" customHeight="1" x14ac:dyDescent="0.25">
      <c r="A59" s="695" t="s">
        <v>264</v>
      </c>
      <c r="B59" s="696"/>
      <c r="C59" s="710" t="s">
        <v>437</v>
      </c>
      <c r="D59" s="711"/>
      <c r="E59" s="710" t="s">
        <v>439</v>
      </c>
      <c r="F59" s="711"/>
      <c r="G59" s="701" t="s">
        <v>438</v>
      </c>
      <c r="H59" s="691" t="s">
        <v>440</v>
      </c>
      <c r="I59" s="692"/>
      <c r="J59" s="691" t="s">
        <v>441</v>
      </c>
      <c r="K59" s="692"/>
      <c r="L59" s="691" t="s">
        <v>442</v>
      </c>
      <c r="M59" s="692"/>
      <c r="N59" s="36"/>
      <c r="O59" s="691" t="s">
        <v>1136</v>
      </c>
      <c r="P59" s="692"/>
      <c r="Q59" s="270" t="s">
        <v>53</v>
      </c>
      <c r="R59" s="270" t="s">
        <v>53</v>
      </c>
      <c r="S59" s="270" t="s">
        <v>53</v>
      </c>
      <c r="T59" s="275" t="s">
        <v>450</v>
      </c>
      <c r="U59" s="270" t="s">
        <v>53</v>
      </c>
      <c r="V59" s="275" t="s">
        <v>450</v>
      </c>
      <c r="W59" s="270" t="s">
        <v>53</v>
      </c>
      <c r="X59" s="270" t="s">
        <v>53</v>
      </c>
      <c r="Y59" s="270" t="s">
        <v>53</v>
      </c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</row>
    <row r="60" spans="1:43" ht="18" customHeight="1" x14ac:dyDescent="0.25">
      <c r="A60" s="697"/>
      <c r="B60" s="698"/>
      <c r="C60" s="712"/>
      <c r="D60" s="713"/>
      <c r="E60" s="712"/>
      <c r="F60" s="713"/>
      <c r="G60" s="703"/>
      <c r="H60" s="154" t="s">
        <v>446</v>
      </c>
      <c r="I60" s="152" t="s">
        <v>466</v>
      </c>
      <c r="J60" s="154" t="s">
        <v>696</v>
      </c>
      <c r="K60" s="152" t="s">
        <v>665</v>
      </c>
      <c r="L60" s="154" t="s">
        <v>697</v>
      </c>
      <c r="M60" s="152" t="s">
        <v>453</v>
      </c>
      <c r="N60" s="36"/>
      <c r="O60" s="691" t="s">
        <v>1133</v>
      </c>
      <c r="P60" s="692"/>
      <c r="Q60" s="272" t="s">
        <v>912</v>
      </c>
      <c r="R60" s="272" t="s">
        <v>912</v>
      </c>
      <c r="S60" s="272" t="s">
        <v>912</v>
      </c>
      <c r="T60" s="270" t="s">
        <v>53</v>
      </c>
      <c r="U60" s="270" t="s">
        <v>1135</v>
      </c>
      <c r="V60" s="270" t="s">
        <v>53</v>
      </c>
      <c r="W60" s="270" t="s">
        <v>53</v>
      </c>
      <c r="X60" s="270" t="s">
        <v>53</v>
      </c>
      <c r="Y60" s="270" t="s">
        <v>53</v>
      </c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</row>
    <row r="61" spans="1:43" ht="18" customHeight="1" x14ac:dyDescent="0.25">
      <c r="A61" s="542" t="s">
        <v>248</v>
      </c>
      <c r="B61" s="542"/>
      <c r="C61" s="708"/>
      <c r="D61" s="709"/>
      <c r="E61" s="708"/>
      <c r="F61" s="709"/>
      <c r="G61" s="335"/>
      <c r="H61" s="334"/>
      <c r="I61" s="194"/>
      <c r="J61" s="191"/>
      <c r="K61" s="336"/>
      <c r="L61" s="191"/>
      <c r="M61" s="336"/>
      <c r="N61" s="36"/>
      <c r="O61" s="691" t="s">
        <v>449</v>
      </c>
      <c r="P61" s="692"/>
      <c r="Q61" s="272">
        <v>3</v>
      </c>
      <c r="R61" s="272">
        <v>3</v>
      </c>
      <c r="S61" s="272">
        <v>3</v>
      </c>
      <c r="T61" s="270" t="s">
        <v>53</v>
      </c>
      <c r="U61" s="270" t="s">
        <v>53</v>
      </c>
      <c r="V61" s="270" t="s">
        <v>53</v>
      </c>
      <c r="W61" s="270" t="s">
        <v>53</v>
      </c>
      <c r="X61" s="270" t="s">
        <v>53</v>
      </c>
      <c r="Y61" s="270" t="s">
        <v>53</v>
      </c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</row>
    <row r="62" spans="1:43" ht="18" customHeight="1" x14ac:dyDescent="0.25">
      <c r="A62" s="542" t="s">
        <v>247</v>
      </c>
      <c r="B62" s="542"/>
      <c r="C62" s="469" t="str">
        <f>IF(SUM(Skills!$G$15+Skills!$H$15)&gt;=3,"Yes","No")</f>
        <v>No</v>
      </c>
      <c r="D62" s="470"/>
      <c r="E62" s="469" t="str">
        <f>IF(SUM(Skills!$G$15+Skills!$H$15)&gt;=5,"Yes","No")</f>
        <v>No</v>
      </c>
      <c r="F62" s="470"/>
      <c r="G62" s="195" t="str">
        <f>IF(SUM(Skills!$G$15+Skills!$H$15)&gt;=7,"Yes","No")</f>
        <v>No</v>
      </c>
      <c r="H62" s="195" t="str">
        <f>IF(SUM(Skills!$G$15+Skills!$H$15)&gt;=9,"Yes","No")</f>
        <v>No</v>
      </c>
      <c r="I62" s="195" t="str">
        <f>IF(SUM(Skills!$G$15+Skills!$H$15)&gt;=9,"Yes","No")</f>
        <v>No</v>
      </c>
      <c r="J62" s="195" t="str">
        <f>IF(SUM(Skills!$G$15+Skills!$H$15)&gt;=11,"Yes","No")</f>
        <v>No</v>
      </c>
      <c r="K62" s="195" t="str">
        <f>IF(SUM(Skills!$G$15+Skills!$H$15)&gt;=11,"Yes","No")</f>
        <v>No</v>
      </c>
      <c r="L62" s="195" t="str">
        <f>IF(SUM(Skills!$G$15+Skills!$H$15)&gt;=13,"Yes","No")</f>
        <v>No</v>
      </c>
      <c r="M62" s="198" t="str">
        <f>IF(SUM(Skills!$G$15+Skills!$H$15)&gt;=13,"Yes","No")</f>
        <v>No</v>
      </c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</row>
    <row r="63" spans="1:43" ht="18" customHeight="1" x14ac:dyDescent="0.25">
      <c r="A63" s="691" t="s">
        <v>582</v>
      </c>
      <c r="B63" s="692"/>
      <c r="C63" s="469">
        <v>3</v>
      </c>
      <c r="D63" s="470"/>
      <c r="E63" s="469">
        <v>3</v>
      </c>
      <c r="F63" s="470"/>
      <c r="G63" s="198">
        <v>3</v>
      </c>
      <c r="H63" s="155" t="s">
        <v>450</v>
      </c>
      <c r="I63" s="155" t="s">
        <v>450</v>
      </c>
      <c r="J63" s="155" t="s">
        <v>450</v>
      </c>
      <c r="K63" s="155" t="s">
        <v>450</v>
      </c>
      <c r="L63" s="155" t="s">
        <v>450</v>
      </c>
      <c r="M63" s="155" t="s">
        <v>450</v>
      </c>
      <c r="N63" s="36"/>
      <c r="O63" s="695" t="s">
        <v>1137</v>
      </c>
      <c r="P63" s="696"/>
      <c r="Q63" s="701" t="s">
        <v>437</v>
      </c>
      <c r="R63" s="701" t="s">
        <v>439</v>
      </c>
      <c r="S63" s="701" t="s">
        <v>438</v>
      </c>
      <c r="T63" s="691" t="s">
        <v>440</v>
      </c>
      <c r="U63" s="692"/>
      <c r="V63" s="691" t="s">
        <v>441</v>
      </c>
      <c r="W63" s="692"/>
      <c r="X63" s="691" t="s">
        <v>442</v>
      </c>
      <c r="Y63" s="692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</row>
    <row r="64" spans="1:43" ht="18" customHeight="1" x14ac:dyDescent="0.25">
      <c r="A64" s="691" t="s">
        <v>681</v>
      </c>
      <c r="B64" s="692"/>
      <c r="C64" s="469">
        <f>10+ROUNDDOWN(SUM(Skills!$G$15+Skills!$H$15)/2,0)+General!$N$12</f>
        <v>5</v>
      </c>
      <c r="D64" s="470"/>
      <c r="E64" s="469">
        <f>10+ROUNDDOWN(SUM(Skills!$G$15+Skills!$H$15)/2,0)+General!$N$12</f>
        <v>5</v>
      </c>
      <c r="F64" s="470"/>
      <c r="G64" s="195">
        <f>10+ROUNDDOWN(SUM(Skills!$G$15+Skills!$H$15)/2,0)+General!$N$12</f>
        <v>5</v>
      </c>
      <c r="H64" s="195">
        <f>10+ROUNDDOWN(SUM(Skills!$G$15+Skills!$H$15)/2,0)+General!$N$12</f>
        <v>5</v>
      </c>
      <c r="I64" s="195">
        <f>10+ROUNDDOWN(SUM(Skills!$G$15+Skills!$H$15)/2,0)+General!$N$12</f>
        <v>5</v>
      </c>
      <c r="J64" s="195">
        <f>11+ROUNDDOWN(SUM(Skills!$G$15+Skills!$H$15)/2,0)+General!$N$12</f>
        <v>6</v>
      </c>
      <c r="K64" s="195">
        <f>10+ROUNDDOWN(SUM(Skills!$G$15+Skills!$H$15)/2,0)+General!$N$12</f>
        <v>5</v>
      </c>
      <c r="L64" s="195">
        <f>10+ROUNDDOWN(SUM(Skills!$G$15+Skills!$H$15)/2,0)+General!$N$12+IF(J61="Yes",1,0)</f>
        <v>5</v>
      </c>
      <c r="M64" s="198">
        <f>10+ROUNDDOWN(SUM(Skills!$G$15+Skills!$H$15)/2,0)+General!$N$12+IF(J61="Yes",1,0)</f>
        <v>5</v>
      </c>
      <c r="N64" s="36"/>
      <c r="O64" s="697"/>
      <c r="P64" s="698"/>
      <c r="Q64" s="703"/>
      <c r="R64" s="703"/>
      <c r="S64" s="703"/>
      <c r="T64" s="154" t="s">
        <v>467</v>
      </c>
      <c r="U64" s="152" t="s">
        <v>446</v>
      </c>
      <c r="V64" s="152" t="s">
        <v>1138</v>
      </c>
      <c r="W64" s="152" t="s">
        <v>1139</v>
      </c>
      <c r="X64" s="154" t="s">
        <v>1140</v>
      </c>
      <c r="Y64" s="154" t="s">
        <v>1141</v>
      </c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</row>
    <row r="65" spans="1:43" ht="18" customHeight="1" x14ac:dyDescent="0.25">
      <c r="A65" s="542" t="s">
        <v>471</v>
      </c>
      <c r="B65" s="542"/>
      <c r="C65" s="536">
        <v>10</v>
      </c>
      <c r="D65" s="538"/>
      <c r="E65" s="536">
        <v>10</v>
      </c>
      <c r="F65" s="538"/>
      <c r="G65" s="196">
        <v>15</v>
      </c>
      <c r="H65" s="198" t="s">
        <v>53</v>
      </c>
      <c r="I65" s="183" t="s">
        <v>482</v>
      </c>
      <c r="J65" s="198" t="s">
        <v>53</v>
      </c>
      <c r="K65" s="198" t="s">
        <v>53</v>
      </c>
      <c r="L65" s="155" t="s">
        <v>482</v>
      </c>
      <c r="M65" s="198" t="s">
        <v>53</v>
      </c>
      <c r="N65" s="36"/>
      <c r="O65" s="542" t="s">
        <v>248</v>
      </c>
      <c r="P65" s="542"/>
      <c r="Q65" s="101"/>
      <c r="R65" s="273"/>
      <c r="S65" s="273"/>
      <c r="T65" s="271"/>
      <c r="U65" s="274"/>
      <c r="V65" s="271"/>
      <c r="W65" s="274"/>
      <c r="X65" s="271"/>
      <c r="Y65" s="274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</row>
    <row r="66" spans="1:43" ht="18" customHeight="1" x14ac:dyDescent="0.25">
      <c r="A66" s="691" t="s">
        <v>249</v>
      </c>
      <c r="B66" s="692"/>
      <c r="C66" s="469">
        <v>3</v>
      </c>
      <c r="D66" s="470"/>
      <c r="E66" s="469">
        <v>3</v>
      </c>
      <c r="F66" s="470"/>
      <c r="G66" s="195">
        <v>3</v>
      </c>
      <c r="H66" s="155" t="s">
        <v>450</v>
      </c>
      <c r="I66" s="198" t="s">
        <v>53</v>
      </c>
      <c r="J66" s="198" t="s">
        <v>53</v>
      </c>
      <c r="K66" s="198" t="s">
        <v>53</v>
      </c>
      <c r="L66" s="155" t="s">
        <v>450</v>
      </c>
      <c r="M66" s="198" t="s">
        <v>53</v>
      </c>
      <c r="N66" s="36"/>
      <c r="O66" s="542" t="s">
        <v>247</v>
      </c>
      <c r="P66" s="542"/>
      <c r="Q66" s="270" t="str">
        <f>IF(AND(SUM(Skills!$G$19+Skills!$H$19)&gt;=8,SUM(Skills!$G$36+Skills!$H$36)&gt;=4,General!$B$1="Batarian",General!$Y$7=General!$AH$28),"Yes","No")</f>
        <v>No</v>
      </c>
      <c r="R66" s="270" t="str">
        <f>IF(AND(SUM(Skills!$G$19+Skills!$H$19)&gt;=10,SUM(Skills!$G$36+Skills!$H$36)&gt;=6,General!$B$1="Batarian",General!$Y$7=General!$AH$28),"Yes","No")</f>
        <v>No</v>
      </c>
      <c r="S66" s="270" t="str">
        <f>IF(AND(SUM(Skills!$G$19+Skills!$H$19)&gt;=12,SUM(Skills!$G$36+Skills!$H$36)&gt;=8,General!$B$1="Batarian",General!$Y$7=General!$AH$28),"Yes","No")</f>
        <v>No</v>
      </c>
      <c r="T66" s="270" t="str">
        <f>IF(AND(SUM(Skills!$G$19+Skills!$H$19)&gt;=14,SUM(Skills!$G$36+Skills!$H$36)&gt;=10,General!$B$1="Batarian",General!$Y$7=General!$AH$28),"Yes","No")</f>
        <v>No</v>
      </c>
      <c r="U66" s="270" t="str">
        <f>IF(AND(SUM(Skills!$G$19+Skills!$H$19)&gt;=14,SUM(Skills!$G$36+Skills!$H$36)&gt;=10,General!$B$1="Batarian",General!$Y$7=General!$AH$28),"Yes","No")</f>
        <v>No</v>
      </c>
      <c r="V66" s="270" t="str">
        <f>IF(AND(SUM(Skills!$G$19+Skills!$H$19)&gt;=16,SUM(Skills!$G$36+Skills!$H$36)&gt;=12,General!$B$1="Batarian",General!$Y$7=General!$AH$28),"Yes","No")</f>
        <v>No</v>
      </c>
      <c r="W66" s="270" t="str">
        <f>IF(AND(SUM(Skills!$G$19+Skills!$H$19)&gt;=16,SUM(Skills!$G$36+Skills!$H$36)&gt;=12,General!$B$1="Batarian",General!$Y$7=General!$AH$28),"Yes","No")</f>
        <v>No</v>
      </c>
      <c r="X66" s="270" t="str">
        <f>IF(AND(SUM(Skills!$G$19+Skills!$H$19)&gt;=18,SUM(Skills!$G$36+Skills!$H$36)&gt;=14,General!$B$1="Batarian",General!$Y$7=General!$AH$28),"Yes","No")</f>
        <v>No</v>
      </c>
      <c r="Y66" s="270" t="str">
        <f>IF(AND(SUM(Skills!$G$19+Skills!$H$19)&gt;=18,SUM(Skills!$G$36+Skills!$H$36)&gt;=14,General!$B$1="Batarian",General!$Y$7=General!$AH$28),"Yes","No")</f>
        <v>No</v>
      </c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3" ht="18" customHeight="1" x14ac:dyDescent="0.25">
      <c r="A67" s="691" t="s">
        <v>698</v>
      </c>
      <c r="B67" s="692"/>
      <c r="C67" s="469">
        <v>1</v>
      </c>
      <c r="D67" s="470"/>
      <c r="E67" s="469">
        <v>1</v>
      </c>
      <c r="F67" s="470"/>
      <c r="G67" s="195">
        <v>1</v>
      </c>
      <c r="H67" s="198" t="s">
        <v>53</v>
      </c>
      <c r="I67" s="198" t="s">
        <v>53</v>
      </c>
      <c r="J67" s="155" t="s">
        <v>450</v>
      </c>
      <c r="K67" s="198" t="s">
        <v>53</v>
      </c>
      <c r="L67" s="198" t="s">
        <v>53</v>
      </c>
      <c r="M67" s="198" t="s">
        <v>53</v>
      </c>
      <c r="N67" s="36"/>
      <c r="O67" s="691" t="s">
        <v>1131</v>
      </c>
      <c r="P67" s="692"/>
      <c r="Q67" s="270">
        <v>3</v>
      </c>
      <c r="R67" s="270">
        <v>3</v>
      </c>
      <c r="S67" s="270">
        <v>4</v>
      </c>
      <c r="T67" s="275" t="s">
        <v>450</v>
      </c>
      <c r="U67" s="275" t="s">
        <v>450</v>
      </c>
      <c r="V67" s="275" t="s">
        <v>450</v>
      </c>
      <c r="W67" s="275" t="s">
        <v>450</v>
      </c>
      <c r="X67" s="275" t="s">
        <v>450</v>
      </c>
      <c r="Y67" s="275" t="s">
        <v>450</v>
      </c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</row>
    <row r="68" spans="1:43" ht="18" customHeight="1" x14ac:dyDescent="0.25">
      <c r="A68" s="691" t="s">
        <v>449</v>
      </c>
      <c r="B68" s="692"/>
      <c r="C68" s="469">
        <v>7</v>
      </c>
      <c r="D68" s="470"/>
      <c r="E68" s="469">
        <v>6</v>
      </c>
      <c r="F68" s="470"/>
      <c r="G68" s="195">
        <v>6</v>
      </c>
      <c r="H68" s="198" t="s">
        <v>53</v>
      </c>
      <c r="I68" s="198" t="s">
        <v>53</v>
      </c>
      <c r="J68" s="198" t="s">
        <v>53</v>
      </c>
      <c r="K68" s="155" t="s">
        <v>459</v>
      </c>
      <c r="L68" s="198" t="s">
        <v>53</v>
      </c>
      <c r="M68" s="155" t="s">
        <v>459</v>
      </c>
      <c r="N68" s="36"/>
      <c r="O68" s="691" t="s">
        <v>1143</v>
      </c>
      <c r="P68" s="692"/>
      <c r="Q68" s="270">
        <f>10+ROUNDDOWN(SUM(Skills!$G$19+Skills!$H$19)/2,0)+General!$N$12</f>
        <v>5</v>
      </c>
      <c r="R68" s="270">
        <f>10+ROUNDDOWN(SUM(Skills!$G$19+Skills!$H$19)/2,0)+General!$N$12</f>
        <v>5</v>
      </c>
      <c r="S68" s="270">
        <f>10+ROUNDDOWN(SUM(Skills!$G$19+Skills!$H$19)/2,0)+General!$N$12</f>
        <v>5</v>
      </c>
      <c r="T68" s="270">
        <f>10+ROUNDDOWN(SUM(Skills!$G$19+Skills!$H$19)/2,0)+General!$N$12</f>
        <v>5</v>
      </c>
      <c r="U68" s="270">
        <f>10+ROUNDDOWN(SUM(Skills!$G$19+Skills!$H$19)/2,0)+General!$N$12</f>
        <v>5</v>
      </c>
      <c r="V68" s="270">
        <f>10+ROUNDDOWN(SUM(Skills!$G$19+Skills!$H$19)/2,0)+General!$N$12</f>
        <v>5</v>
      </c>
      <c r="W68" s="270">
        <f>10+ROUNDDOWN(SUM(Skills!$G$19+Skills!$H$19)/2,0)+General!$N$12</f>
        <v>5</v>
      </c>
      <c r="X68" s="270">
        <f>10+ROUNDDOWN(SUM(Skills!$G$19+Skills!$H$19)/2,0)+General!$N$12</f>
        <v>5</v>
      </c>
      <c r="Y68" s="270">
        <f>10+ROUNDDOWN(SUM(Skills!$G$19+Skills!$H$19)/2,0)+General!$N$12</f>
        <v>5</v>
      </c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</row>
    <row r="69" spans="1:43" ht="18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691" t="s">
        <v>1145</v>
      </c>
      <c r="P69" s="692"/>
      <c r="Q69" s="270">
        <v>2</v>
      </c>
      <c r="R69" s="270">
        <v>2</v>
      </c>
      <c r="S69" s="270">
        <v>3</v>
      </c>
      <c r="T69" s="270" t="s">
        <v>53</v>
      </c>
      <c r="U69" s="275" t="s">
        <v>450</v>
      </c>
      <c r="V69" s="270" t="s">
        <v>53</v>
      </c>
      <c r="W69" s="270" t="s">
        <v>53</v>
      </c>
      <c r="X69" s="270" t="s">
        <v>53</v>
      </c>
      <c r="Y69" s="270" t="s">
        <v>53</v>
      </c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</row>
    <row r="70" spans="1:43" ht="18" customHeight="1" x14ac:dyDescent="0.25">
      <c r="A70" s="695" t="s">
        <v>265</v>
      </c>
      <c r="B70" s="696"/>
      <c r="C70" s="710" t="s">
        <v>437</v>
      </c>
      <c r="D70" s="711"/>
      <c r="E70" s="710" t="s">
        <v>439</v>
      </c>
      <c r="F70" s="711"/>
      <c r="G70" s="701" t="s">
        <v>438</v>
      </c>
      <c r="H70" s="691" t="s">
        <v>440</v>
      </c>
      <c r="I70" s="692"/>
      <c r="J70" s="691" t="s">
        <v>441</v>
      </c>
      <c r="K70" s="692"/>
      <c r="L70" s="691" t="s">
        <v>442</v>
      </c>
      <c r="M70" s="692"/>
      <c r="N70" s="36"/>
      <c r="O70" s="691" t="s">
        <v>1144</v>
      </c>
      <c r="P70" s="692"/>
      <c r="Q70" s="270" t="s">
        <v>719</v>
      </c>
      <c r="R70" s="270" t="s">
        <v>719</v>
      </c>
      <c r="S70" s="270" t="s">
        <v>796</v>
      </c>
      <c r="T70" s="270" t="s">
        <v>510</v>
      </c>
      <c r="U70" s="270" t="s">
        <v>53</v>
      </c>
      <c r="V70" s="270" t="s">
        <v>739</v>
      </c>
      <c r="W70" s="270" t="s">
        <v>53</v>
      </c>
      <c r="X70" s="270" t="s">
        <v>1076</v>
      </c>
      <c r="Y70" s="270" t="s">
        <v>1076</v>
      </c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</row>
    <row r="71" spans="1:43" ht="18" customHeight="1" x14ac:dyDescent="0.25">
      <c r="A71" s="697"/>
      <c r="B71" s="698"/>
      <c r="C71" s="712"/>
      <c r="D71" s="713"/>
      <c r="E71" s="712"/>
      <c r="F71" s="713"/>
      <c r="G71" s="703"/>
      <c r="H71" s="154" t="s">
        <v>467</v>
      </c>
      <c r="I71" s="152" t="s">
        <v>466</v>
      </c>
      <c r="J71" s="154" t="s">
        <v>700</v>
      </c>
      <c r="K71" s="152" t="s">
        <v>1514</v>
      </c>
      <c r="L71" s="154" t="s">
        <v>511</v>
      </c>
      <c r="M71" s="152" t="s">
        <v>701</v>
      </c>
      <c r="N71" s="36"/>
      <c r="O71" s="691" t="s">
        <v>1146</v>
      </c>
      <c r="P71" s="692"/>
      <c r="Q71" s="270">
        <v>3</v>
      </c>
      <c r="R71" s="270">
        <v>3</v>
      </c>
      <c r="S71" s="270">
        <v>4</v>
      </c>
      <c r="T71" s="275" t="s">
        <v>450</v>
      </c>
      <c r="U71" s="270" t="s">
        <v>53</v>
      </c>
      <c r="V71" s="270" t="s">
        <v>53</v>
      </c>
      <c r="W71" s="270" t="s">
        <v>53</v>
      </c>
      <c r="X71" s="270" t="s">
        <v>53</v>
      </c>
      <c r="Y71" s="270" t="s">
        <v>53</v>
      </c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</row>
    <row r="72" spans="1:43" ht="18" customHeight="1" x14ac:dyDescent="0.25">
      <c r="A72" s="542" t="s">
        <v>248</v>
      </c>
      <c r="B72" s="542"/>
      <c r="C72" s="708"/>
      <c r="D72" s="709"/>
      <c r="E72" s="708"/>
      <c r="F72" s="709"/>
      <c r="G72" s="335"/>
      <c r="H72" s="334"/>
      <c r="I72" s="194"/>
      <c r="J72" s="334"/>
      <c r="K72" s="194"/>
      <c r="L72" s="334"/>
      <c r="M72" s="194"/>
      <c r="N72" s="36"/>
      <c r="O72" s="691" t="s">
        <v>1147</v>
      </c>
      <c r="P72" s="692"/>
      <c r="Q72" s="276">
        <f>1+General!$N$12</f>
        <v>-4</v>
      </c>
      <c r="R72" s="276">
        <f>2+General!$N$12</f>
        <v>-3</v>
      </c>
      <c r="S72" s="276">
        <f>3+General!$N$12</f>
        <v>-2</v>
      </c>
      <c r="T72" s="276">
        <f>4+General!$N$12</f>
        <v>-1</v>
      </c>
      <c r="U72" s="276">
        <f>4+General!$N$12</f>
        <v>-1</v>
      </c>
      <c r="V72" s="276">
        <f>5+General!$N$12</f>
        <v>0</v>
      </c>
      <c r="W72" s="276">
        <f>5+General!$N$12</f>
        <v>0</v>
      </c>
      <c r="X72" s="276">
        <f>6+General!$N$12</f>
        <v>1</v>
      </c>
      <c r="Y72" s="276">
        <f>6+General!$N$12</f>
        <v>1</v>
      </c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</row>
    <row r="73" spans="1:43" ht="18" customHeight="1" x14ac:dyDescent="0.25">
      <c r="A73" s="542" t="s">
        <v>247</v>
      </c>
      <c r="B73" s="542"/>
      <c r="C73" s="469" t="str">
        <f>IF(AND(SUM(Skills!$G$15+Skills!$H$15)&gt;=7,SUM(Skills!$G$16+Skills!$H$16)&gt;=7,SUM(Skills!$G$19+Skills!$H$19)&gt;=7),"Yes","No")</f>
        <v>No</v>
      </c>
      <c r="D73" s="470"/>
      <c r="E73" s="469" t="str">
        <f>IF(AND(SUM(Skills!$G$15+Skills!$H$15)&gt;=9,SUM(Skills!$G$16+Skills!$H$16)&gt;=9,SUM(Skills!$G$19+Skills!$H$19)&gt;=9),"Yes","No")</f>
        <v>No</v>
      </c>
      <c r="F73" s="470"/>
      <c r="G73" s="195" t="str">
        <f>IF(AND(SUM(Skills!$G$15+Skills!$H$15)&gt;=11,SUM(Skills!$G$16+Skills!$H$16)&gt;=11,SUM(Skills!$G$19+Skills!$H$19)&gt;=11),"Yes","No")</f>
        <v>No</v>
      </c>
      <c r="H73" s="195" t="str">
        <f>IF(AND(SUM(Skills!$G$15+Skills!$H$15)&gt;=13,SUM(Skills!$G$16+Skills!$H$16)&gt;=13,SUM(Skills!$G$19+Skills!$H$19)&gt;=13),"Yes","No")</f>
        <v>No</v>
      </c>
      <c r="I73" s="195" t="str">
        <f>IF(AND(SUM(Skills!$G$15+Skills!$H$15)&gt;=13,SUM(Skills!$G$16+Skills!$H$16)&gt;=13,SUM(Skills!$G$19+Skills!$H$19)&gt;=13),"Yes","No")</f>
        <v>No</v>
      </c>
      <c r="J73" s="195" t="str">
        <f>IF(AND(SUM(Skills!$G$15+Skills!$H$15)&gt;=15,SUM(Skills!$G$16+Skills!$H$16)&gt;=15,SUM(Skills!$G$19+Skills!$H$19)&gt;=15),"Yes","No")</f>
        <v>No</v>
      </c>
      <c r="K73" s="195" t="str">
        <f>IF(AND(SUM(Skills!$G$15+Skills!$H$15)&gt;=15,SUM(Skills!$G$16+Skills!$H$16)&gt;=15,SUM(Skills!$G$19+Skills!$H$19)&gt;=15),"Yes","No")</f>
        <v>No</v>
      </c>
      <c r="L73" s="195" t="str">
        <f>IF(AND(SUM(Skills!$G$15+Skills!$H$15)&gt;=17,SUM(Skills!$G$16+Skills!$H$16)&gt;=17,SUM(Skills!$G$19+Skills!$H$19)&gt;=17),"Yes","No")</f>
        <v>No</v>
      </c>
      <c r="M73" s="198" t="str">
        <f>IF(AND(SUM(Skills!$G$15+Skills!$H$15)&gt;=17,SUM(Skills!$G$16+Skills!$H$16)&gt;=17,SUM(Skills!$G$19+Skills!$H$19)&gt;=17),"Yes","No")</f>
        <v>No</v>
      </c>
      <c r="N73" s="36"/>
      <c r="O73" s="691" t="s">
        <v>449</v>
      </c>
      <c r="P73" s="692"/>
      <c r="Q73" s="272">
        <v>4</v>
      </c>
      <c r="R73" s="272">
        <v>3</v>
      </c>
      <c r="S73" s="272">
        <v>3</v>
      </c>
      <c r="T73" s="270" t="s">
        <v>53</v>
      </c>
      <c r="U73" s="270" t="s">
        <v>53</v>
      </c>
      <c r="V73" s="270" t="s">
        <v>53</v>
      </c>
      <c r="W73" s="275" t="s">
        <v>459</v>
      </c>
      <c r="X73" s="270" t="s">
        <v>53</v>
      </c>
      <c r="Y73" s="270" t="s">
        <v>53</v>
      </c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</row>
    <row r="74" spans="1:43" ht="18" customHeight="1" x14ac:dyDescent="0.25">
      <c r="A74" s="691" t="s">
        <v>582</v>
      </c>
      <c r="B74" s="692"/>
      <c r="C74" s="469">
        <v>2</v>
      </c>
      <c r="D74" s="470"/>
      <c r="E74" s="469">
        <v>2</v>
      </c>
      <c r="F74" s="470"/>
      <c r="G74" s="198">
        <v>3</v>
      </c>
      <c r="H74" s="155" t="s">
        <v>450</v>
      </c>
      <c r="I74" s="155" t="s">
        <v>450</v>
      </c>
      <c r="J74" s="198" t="s">
        <v>53</v>
      </c>
      <c r="K74" s="198" t="s">
        <v>53</v>
      </c>
      <c r="L74" s="155" t="s">
        <v>450</v>
      </c>
      <c r="M74" s="155" t="s">
        <v>450</v>
      </c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</row>
    <row r="75" spans="1:43" ht="18" customHeight="1" x14ac:dyDescent="0.25">
      <c r="A75" s="542" t="s">
        <v>471</v>
      </c>
      <c r="B75" s="542"/>
      <c r="C75" s="469">
        <v>5</v>
      </c>
      <c r="D75" s="470"/>
      <c r="E75" s="469">
        <v>5</v>
      </c>
      <c r="F75" s="470"/>
      <c r="G75" s="195">
        <v>5</v>
      </c>
      <c r="H75" s="198" t="s">
        <v>53</v>
      </c>
      <c r="I75" s="197" t="s">
        <v>482</v>
      </c>
      <c r="J75" s="198" t="s">
        <v>53</v>
      </c>
      <c r="K75" s="198" t="s">
        <v>53</v>
      </c>
      <c r="L75" s="198" t="s">
        <v>53</v>
      </c>
      <c r="M75" s="198" t="s">
        <v>53</v>
      </c>
      <c r="N75" s="36"/>
      <c r="O75" s="695" t="s">
        <v>741</v>
      </c>
      <c r="P75" s="696"/>
      <c r="Q75" s="701" t="s">
        <v>437</v>
      </c>
      <c r="R75" s="701" t="s">
        <v>439</v>
      </c>
      <c r="S75" s="701" t="s">
        <v>438</v>
      </c>
      <c r="T75" s="691" t="s">
        <v>440</v>
      </c>
      <c r="U75" s="692"/>
      <c r="V75" s="691" t="s">
        <v>441</v>
      </c>
      <c r="W75" s="692"/>
      <c r="X75" s="691" t="s">
        <v>442</v>
      </c>
      <c r="Y75" s="692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</row>
    <row r="76" spans="1:43" ht="18" customHeight="1" x14ac:dyDescent="0.25">
      <c r="A76" s="542" t="s">
        <v>467</v>
      </c>
      <c r="B76" s="542"/>
      <c r="C76" s="536" t="s">
        <v>477</v>
      </c>
      <c r="D76" s="538"/>
      <c r="E76" s="536" t="s">
        <v>477</v>
      </c>
      <c r="F76" s="538"/>
      <c r="G76" s="196" t="s">
        <v>522</v>
      </c>
      <c r="H76" s="155" t="s">
        <v>470</v>
      </c>
      <c r="I76" s="198" t="s">
        <v>53</v>
      </c>
      <c r="J76" s="198" t="s">
        <v>53</v>
      </c>
      <c r="K76" s="198" t="s">
        <v>53</v>
      </c>
      <c r="L76" s="466" t="s">
        <v>500</v>
      </c>
      <c r="M76" s="198" t="s">
        <v>53</v>
      </c>
      <c r="N76" s="36"/>
      <c r="O76" s="697"/>
      <c r="P76" s="698"/>
      <c r="Q76" s="703"/>
      <c r="R76" s="703"/>
      <c r="S76" s="703"/>
      <c r="T76" s="154" t="s">
        <v>446</v>
      </c>
      <c r="U76" s="152" t="s">
        <v>467</v>
      </c>
      <c r="V76" s="152" t="s">
        <v>453</v>
      </c>
      <c r="W76" s="152" t="s">
        <v>502</v>
      </c>
      <c r="X76" s="154" t="s">
        <v>742</v>
      </c>
      <c r="Y76" s="154" t="s">
        <v>743</v>
      </c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</row>
    <row r="77" spans="1:43" ht="18" customHeight="1" x14ac:dyDescent="0.25">
      <c r="A77" s="691" t="s">
        <v>699</v>
      </c>
      <c r="B77" s="692"/>
      <c r="C77" s="469">
        <v>50</v>
      </c>
      <c r="D77" s="470"/>
      <c r="E77" s="469">
        <v>50</v>
      </c>
      <c r="F77" s="470"/>
      <c r="G77" s="195">
        <v>50</v>
      </c>
      <c r="H77" s="198" t="s">
        <v>53</v>
      </c>
      <c r="I77" s="198" t="s">
        <v>53</v>
      </c>
      <c r="J77" s="198">
        <v>100</v>
      </c>
      <c r="K77" s="198" t="s">
        <v>53</v>
      </c>
      <c r="L77" s="198" t="s">
        <v>53</v>
      </c>
      <c r="M77" s="198" t="s">
        <v>53</v>
      </c>
      <c r="N77" s="36"/>
      <c r="O77" s="542" t="s">
        <v>248</v>
      </c>
      <c r="P77" s="542"/>
      <c r="Q77" s="101"/>
      <c r="R77" s="207"/>
      <c r="S77" s="207"/>
      <c r="T77" s="206"/>
      <c r="U77" s="208"/>
      <c r="V77" s="206"/>
      <c r="W77" s="208"/>
      <c r="X77" s="206"/>
      <c r="Y77" s="208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</row>
    <row r="78" spans="1:43" ht="18" customHeight="1" x14ac:dyDescent="0.25">
      <c r="A78" s="691" t="s">
        <v>449</v>
      </c>
      <c r="B78" s="692"/>
      <c r="C78" s="469">
        <v>3</v>
      </c>
      <c r="D78" s="470"/>
      <c r="E78" s="469">
        <v>2</v>
      </c>
      <c r="F78" s="470"/>
      <c r="G78" s="195">
        <v>2</v>
      </c>
      <c r="H78" s="198" t="s">
        <v>53</v>
      </c>
      <c r="I78" s="198" t="s">
        <v>53</v>
      </c>
      <c r="J78" s="198" t="s">
        <v>53</v>
      </c>
      <c r="K78" s="198" t="s">
        <v>53</v>
      </c>
      <c r="L78" s="198" t="s">
        <v>53</v>
      </c>
      <c r="M78" s="198" t="s">
        <v>53</v>
      </c>
      <c r="N78" s="36"/>
      <c r="O78" s="542" t="s">
        <v>247</v>
      </c>
      <c r="P78" s="542"/>
      <c r="Q78" s="198" t="str">
        <f>IF(AND(SUM(Skills!$G$19+Skills!$H$19)&gt;=4,OR(General!$Y$7="Infiltrator",General!$Y$7="Turian Agent")),"Yes","No")</f>
        <v>No</v>
      </c>
      <c r="R78" s="198" t="str">
        <f>IF(AND(SUM(Skills!$G$19+Skills!$H$19)&gt;=6,OR(General!$Y$7="Infiltrator",General!$Y$7="Turian Agent")),"Yes","No")</f>
        <v>No</v>
      </c>
      <c r="S78" s="198" t="str">
        <f>IF(AND(SUM(Skills!$G$19+Skills!$H$19)&gt;=8,OR(General!$Y$7="Infiltrator",General!$Y$7="Turian Agent")),"Yes","No")</f>
        <v>No</v>
      </c>
      <c r="T78" s="198" t="str">
        <f>IF(AND(SUM(Skills!$G$19+Skills!$H$19)&gt;=10,OR(General!$Y$7="Infiltrator",General!$Y$7="Turian Agent")),"Yes","No")</f>
        <v>No</v>
      </c>
      <c r="U78" s="198" t="str">
        <f>IF(AND(SUM(Skills!$G$19+Skills!$H$19)&gt;=10,OR(General!$Y$7="Infiltrator",General!$Y$7="Turian Agent")),"Yes","No")</f>
        <v>No</v>
      </c>
      <c r="V78" s="198" t="str">
        <f>IF(AND(SUM(Skills!$G$19+Skills!$H$19)&gt;=12,OR(General!$Y$7="Infiltrator",General!$Y$7="Turian Agent")),"Yes","No")</f>
        <v>No</v>
      </c>
      <c r="W78" s="198" t="str">
        <f>IF(AND(SUM(Skills!$G$19+Skills!$H$19)&gt;=12,OR(General!$Y$7="Infiltrator",General!$Y$7="Turian Agent")),"Yes","No")</f>
        <v>No</v>
      </c>
      <c r="X78" s="198" t="str">
        <f>IF(AND(SUM(Skills!$G$19+Skills!$H$19)&gt;=14,OR(General!$Y$7="Infiltrator",General!$Y$7="Turian Agent")),"Yes","No")</f>
        <v>No</v>
      </c>
      <c r="Y78" s="198" t="str">
        <f>IF(AND(SUM(Skills!$G$19+Skills!$H$19)&gt;=14,OR(General!$Y$7="Infiltrator",General!$Y$7="Turian Agent")),"Yes","No")</f>
        <v>No</v>
      </c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</row>
    <row r="79" spans="1:43" ht="18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691" t="s">
        <v>582</v>
      </c>
      <c r="P79" s="692"/>
      <c r="Q79" s="198">
        <v>2</v>
      </c>
      <c r="R79" s="198">
        <v>2</v>
      </c>
      <c r="S79" s="198">
        <v>3</v>
      </c>
      <c r="T79" s="155" t="s">
        <v>450</v>
      </c>
      <c r="U79" s="155" t="s">
        <v>450</v>
      </c>
      <c r="V79" s="155" t="s">
        <v>450</v>
      </c>
      <c r="W79" s="155" t="s">
        <v>450</v>
      </c>
      <c r="X79" s="155" t="s">
        <v>450</v>
      </c>
      <c r="Y79" s="155" t="s">
        <v>450</v>
      </c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</row>
    <row r="80" spans="1:43" ht="18" customHeight="1" x14ac:dyDescent="0.25">
      <c r="A80" s="695" t="s">
        <v>1109</v>
      </c>
      <c r="B80" s="696"/>
      <c r="C80" s="710" t="s">
        <v>437</v>
      </c>
      <c r="D80" s="711"/>
      <c r="E80" s="710" t="s">
        <v>439</v>
      </c>
      <c r="F80" s="711"/>
      <c r="G80" s="701" t="s">
        <v>438</v>
      </c>
      <c r="H80" s="691" t="s">
        <v>440</v>
      </c>
      <c r="I80" s="692"/>
      <c r="J80" s="691" t="s">
        <v>441</v>
      </c>
      <c r="K80" s="692"/>
      <c r="L80" s="691" t="s">
        <v>442</v>
      </c>
      <c r="M80" s="692"/>
      <c r="N80" s="36"/>
      <c r="O80" s="691" t="s">
        <v>249</v>
      </c>
      <c r="P80" s="692"/>
      <c r="Q80" s="209">
        <v>4</v>
      </c>
      <c r="R80" s="209">
        <v>4</v>
      </c>
      <c r="S80" s="209">
        <v>5</v>
      </c>
      <c r="T80" s="467" t="s">
        <v>517</v>
      </c>
      <c r="U80" s="198" t="s">
        <v>53</v>
      </c>
      <c r="V80" s="198" t="s">
        <v>53</v>
      </c>
      <c r="W80" s="198" t="s">
        <v>53</v>
      </c>
      <c r="X80" s="198" t="s">
        <v>53</v>
      </c>
      <c r="Y80" s="198" t="s">
        <v>53</v>
      </c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</row>
    <row r="81" spans="1:43" ht="30" customHeight="1" x14ac:dyDescent="0.25">
      <c r="A81" s="697"/>
      <c r="B81" s="698"/>
      <c r="C81" s="712"/>
      <c r="D81" s="713"/>
      <c r="E81" s="712"/>
      <c r="F81" s="713"/>
      <c r="G81" s="703"/>
      <c r="H81" s="154" t="s">
        <v>756</v>
      </c>
      <c r="I81" s="152" t="s">
        <v>1110</v>
      </c>
      <c r="J81" s="154" t="s">
        <v>1111</v>
      </c>
      <c r="K81" s="152" t="s">
        <v>1112</v>
      </c>
      <c r="L81" s="154" t="s">
        <v>1113</v>
      </c>
      <c r="M81" s="152" t="s">
        <v>467</v>
      </c>
      <c r="N81" s="36"/>
      <c r="O81" s="691" t="s">
        <v>552</v>
      </c>
      <c r="P81" s="692"/>
      <c r="Q81" s="210" t="s">
        <v>745</v>
      </c>
      <c r="R81" s="467" t="s">
        <v>745</v>
      </c>
      <c r="S81" s="467" t="s">
        <v>745</v>
      </c>
      <c r="T81" s="198" t="s">
        <v>53</v>
      </c>
      <c r="U81" s="210" t="s">
        <v>744</v>
      </c>
      <c r="V81" s="198" t="s">
        <v>53</v>
      </c>
      <c r="W81" s="198" t="s">
        <v>451</v>
      </c>
      <c r="X81" s="198" t="s">
        <v>53</v>
      </c>
      <c r="Y81" s="198" t="s">
        <v>451</v>
      </c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</row>
    <row r="82" spans="1:43" ht="18" customHeight="1" x14ac:dyDescent="0.25">
      <c r="A82" s="542" t="s">
        <v>248</v>
      </c>
      <c r="B82" s="542"/>
      <c r="C82" s="708"/>
      <c r="D82" s="709"/>
      <c r="E82" s="708"/>
      <c r="F82" s="709"/>
      <c r="G82" s="266"/>
      <c r="H82" s="262"/>
      <c r="I82" s="267"/>
      <c r="J82" s="262"/>
      <c r="K82" s="267"/>
      <c r="L82" s="262"/>
      <c r="M82" s="267"/>
      <c r="N82" s="36"/>
      <c r="O82" s="691" t="s">
        <v>449</v>
      </c>
      <c r="P82" s="692"/>
      <c r="Q82" s="198">
        <v>3</v>
      </c>
      <c r="R82" s="209">
        <v>2</v>
      </c>
      <c r="S82" s="209">
        <v>2</v>
      </c>
      <c r="T82" s="198" t="s">
        <v>53</v>
      </c>
      <c r="U82" s="198" t="s">
        <v>53</v>
      </c>
      <c r="V82" s="155" t="s">
        <v>459</v>
      </c>
      <c r="W82" s="198" t="s">
        <v>53</v>
      </c>
      <c r="X82" s="198" t="s">
        <v>53</v>
      </c>
      <c r="Y82" s="198" t="s">
        <v>53</v>
      </c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</row>
    <row r="83" spans="1:43" ht="18" customHeight="1" x14ac:dyDescent="0.25">
      <c r="A83" s="542" t="s">
        <v>247</v>
      </c>
      <c r="B83" s="542"/>
      <c r="C83" s="468" t="str">
        <f>IF(AND(SUM(Skills!$G$23+Skills!$H$23)&gt;=7,General!$Y$7=General!$AH$28),"Yes","No")</f>
        <v>No</v>
      </c>
      <c r="D83" s="468"/>
      <c r="E83" s="468" t="str">
        <f>IF(AND(SUM(Skills!$G$23+Skills!$H$23)&gt;=9,General!$Y$7=General!$AH$28),"Yes","No")</f>
        <v>No</v>
      </c>
      <c r="F83" s="468"/>
      <c r="G83" s="261" t="str">
        <f>IF(AND(SUM(Skills!$G$23+Skills!$H$23)&gt;=11,General!$Y$7=General!$AH$28),"Yes","No")</f>
        <v>No</v>
      </c>
      <c r="H83" s="261" t="str">
        <f>IF(AND(SUM(Skills!$G$23+Skills!$H$23)&gt;=13,General!$Y$7=General!$AH$28),"Yes","No")</f>
        <v>No</v>
      </c>
      <c r="I83" s="261" t="str">
        <f>IF(AND(SUM(Skills!$G$23+Skills!$H$23)&gt;=13,General!$Y$7=General!$AH$28),"Yes","No")</f>
        <v>No</v>
      </c>
      <c r="J83" s="261" t="str">
        <f>IF(AND(SUM(Skills!$G$23+Skills!$H$23)&gt;=15,General!$Y$7=General!$AH$28),"Yes","No")</f>
        <v>No</v>
      </c>
      <c r="K83" s="261" t="str">
        <f>IF(AND(SUM(Skills!$G$23+Skills!$H$23)&gt;=15,General!$Y$7=General!$AH$28),"Yes","No")</f>
        <v>No</v>
      </c>
      <c r="L83" s="261" t="str">
        <f>IF(AND(SUM(Skills!$G$23+Skills!$H$23)&gt;=17,General!$Y$7=General!$AH$28),"Yes","No")</f>
        <v>No</v>
      </c>
      <c r="M83" s="261" t="str">
        <f>IF(AND(SUM(Skills!$G$23+Skills!$H$23)&gt;=17,General!$Y$7=General!$AH$28),"Yes","No")</f>
        <v>No</v>
      </c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</row>
    <row r="84" spans="1:43" ht="18" customHeight="1" x14ac:dyDescent="0.25">
      <c r="A84" s="691" t="s">
        <v>581</v>
      </c>
      <c r="B84" s="692"/>
      <c r="C84" s="468" t="s">
        <v>1076</v>
      </c>
      <c r="D84" s="468"/>
      <c r="E84" s="468" t="s">
        <v>1076</v>
      </c>
      <c r="F84" s="468"/>
      <c r="G84" s="261" t="s">
        <v>1076</v>
      </c>
      <c r="H84" s="155" t="s">
        <v>450</v>
      </c>
      <c r="I84" s="155" t="s">
        <v>450</v>
      </c>
      <c r="J84" s="155" t="s">
        <v>450</v>
      </c>
      <c r="K84" s="155" t="s">
        <v>450</v>
      </c>
      <c r="L84" s="155" t="s">
        <v>450</v>
      </c>
      <c r="M84" s="155" t="s">
        <v>450</v>
      </c>
      <c r="N84" s="36"/>
      <c r="O84" s="695" t="s">
        <v>1249</v>
      </c>
      <c r="P84" s="696"/>
      <c r="Q84" s="701" t="s">
        <v>437</v>
      </c>
      <c r="R84" s="701" t="s">
        <v>439</v>
      </c>
      <c r="S84" s="701" t="s">
        <v>438</v>
      </c>
      <c r="T84" s="691" t="s">
        <v>440</v>
      </c>
      <c r="U84" s="692"/>
      <c r="V84" s="691" t="s">
        <v>441</v>
      </c>
      <c r="W84" s="692"/>
      <c r="X84" s="691" t="s">
        <v>442</v>
      </c>
      <c r="Y84" s="692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</row>
    <row r="85" spans="1:43" ht="18" customHeight="1" x14ac:dyDescent="0.25">
      <c r="A85" s="691" t="s">
        <v>1114</v>
      </c>
      <c r="B85" s="692"/>
      <c r="C85" s="468">
        <v>60</v>
      </c>
      <c r="D85" s="468"/>
      <c r="E85" s="468">
        <v>60</v>
      </c>
      <c r="F85" s="468"/>
      <c r="G85" s="261">
        <v>60</v>
      </c>
      <c r="H85" s="270" t="s">
        <v>53</v>
      </c>
      <c r="I85" s="270" t="s">
        <v>53</v>
      </c>
      <c r="J85" s="270" t="s">
        <v>53</v>
      </c>
      <c r="K85" s="270" t="s">
        <v>53</v>
      </c>
      <c r="L85" s="275" t="s">
        <v>1123</v>
      </c>
      <c r="M85" s="270" t="s">
        <v>53</v>
      </c>
      <c r="N85" s="36"/>
      <c r="O85" s="697"/>
      <c r="P85" s="698"/>
      <c r="Q85" s="703"/>
      <c r="R85" s="703"/>
      <c r="S85" s="703"/>
      <c r="T85" s="154" t="s">
        <v>1251</v>
      </c>
      <c r="U85" s="152" t="s">
        <v>1111</v>
      </c>
      <c r="V85" s="152" t="s">
        <v>518</v>
      </c>
      <c r="W85" s="152" t="s">
        <v>1081</v>
      </c>
      <c r="X85" s="154" t="s">
        <v>467</v>
      </c>
      <c r="Y85" s="154" t="s">
        <v>1252</v>
      </c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</row>
    <row r="86" spans="1:43" ht="18" customHeight="1" x14ac:dyDescent="0.25">
      <c r="A86" s="542" t="s">
        <v>1115</v>
      </c>
      <c r="B86" s="542"/>
      <c r="C86" s="563">
        <v>30</v>
      </c>
      <c r="D86" s="563"/>
      <c r="E86" s="563">
        <v>30</v>
      </c>
      <c r="F86" s="563"/>
      <c r="G86" s="265">
        <v>30</v>
      </c>
      <c r="H86" s="270" t="s">
        <v>53</v>
      </c>
      <c r="I86" s="270" t="s">
        <v>53</v>
      </c>
      <c r="J86" s="270" t="s">
        <v>53</v>
      </c>
      <c r="K86" s="270" t="s">
        <v>53</v>
      </c>
      <c r="L86" s="275" t="s">
        <v>1123</v>
      </c>
      <c r="M86" s="270" t="s">
        <v>53</v>
      </c>
      <c r="N86" s="36"/>
      <c r="O86" s="542" t="s">
        <v>248</v>
      </c>
      <c r="P86" s="542"/>
      <c r="Q86" s="101"/>
      <c r="R86" s="296"/>
      <c r="S86" s="296"/>
      <c r="T86" s="291"/>
      <c r="U86" s="297"/>
      <c r="V86" s="291"/>
      <c r="W86" s="297"/>
      <c r="X86" s="291"/>
      <c r="Y86" s="297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</row>
    <row r="87" spans="1:43" ht="18" customHeight="1" x14ac:dyDescent="0.25">
      <c r="A87" s="691" t="s">
        <v>1116</v>
      </c>
      <c r="B87" s="692"/>
      <c r="C87" s="468">
        <v>5</v>
      </c>
      <c r="D87" s="468"/>
      <c r="E87" s="468">
        <v>10</v>
      </c>
      <c r="F87" s="468"/>
      <c r="G87" s="261">
        <v>10</v>
      </c>
      <c r="H87" s="270" t="s">
        <v>53</v>
      </c>
      <c r="I87" s="270" t="s">
        <v>53</v>
      </c>
      <c r="J87" s="270" t="s">
        <v>53</v>
      </c>
      <c r="K87" s="270" t="s">
        <v>53</v>
      </c>
      <c r="L87" s="275" t="s">
        <v>482</v>
      </c>
      <c r="M87" s="270" t="s">
        <v>53</v>
      </c>
      <c r="N87" s="36"/>
      <c r="O87" s="542" t="s">
        <v>247</v>
      </c>
      <c r="P87" s="542"/>
      <c r="Q87" s="290" t="str">
        <f>IF(AND(SUM(Skills!$G$19+Skills!$H$19)&gt;=8,SUM(Skills!$G$15+Skills!$H$15)&gt;=8,SUM(Skills!$G$16+Skills!$H$16)&gt;=8,SUM(Skills!$G$23+Skills!$H$23)&gt;=8,General!B1="Quarian"),"Yes","No")</f>
        <v>No</v>
      </c>
      <c r="R87" s="290" t="str">
        <f>IF(AND(SUM(Skills!$G$19+Skills!$H$19)&gt;=10,SUM(Skills!$G$15+Skills!$H$15)&gt;=10,SUM(Skills!$G$16+Skills!$H$16)&gt;=10,SUM(Skills!$G$23+Skills!$H$23)&gt;=10,General!B1="Quarian"),"Yes","No")</f>
        <v>No</v>
      </c>
      <c r="S87" s="290" t="str">
        <f>IF(AND(SUM(Skills!$G$19+Skills!$H$19)&gt;=12,SUM(Skills!$G$15+Skills!$H$15)&gt;=12,SUM(Skills!$G$16+Skills!$H$16)&gt;=12,SUM(Skills!$G$23+Skills!$H$23)&gt;=12,General!B1="Quarian"),"Yes","No")</f>
        <v>No</v>
      </c>
      <c r="T87" s="290" t="str">
        <f>IF(AND(SUM(Skills!$G$19+Skills!$H$19)&gt;=14,SUM(Skills!$G$15+Skills!$H$15)&gt;=14,SUM(Skills!$G$16+Skills!$H$16)&gt;=14,SUM(Skills!$G$23+Skills!$H$23)&gt;=14,General!B1="Quarian"),"Yes","No")</f>
        <v>No</v>
      </c>
      <c r="U87" s="290" t="str">
        <f>IF(AND(SUM(Skills!$G$19+Skills!$H$19)&gt;=14,SUM(Skills!$G$15+Skills!$H$15)&gt;=14,SUM(Skills!$G$16+Skills!$H$16)&gt;=14,SUM(Skills!$G$23+Skills!$H$23)&gt;=14,General!B1="Quarian"),"Yes","No")</f>
        <v>No</v>
      </c>
      <c r="V87" s="290" t="str">
        <f>IF(AND(SUM(Skills!$G$19+Skills!$H$19)&gt;=16,SUM(Skills!$G$15+Skills!$H$15)&gt;=16,SUM(Skills!$G$16+Skills!$H$16)&gt;=16,SUM(Skills!$G$23+Skills!$H$23)&gt;=16,General!B1="Quarian"),"Yes","No")</f>
        <v>No</v>
      </c>
      <c r="W87" s="290" t="str">
        <f>IF(AND(SUM(Skills!$G$19+Skills!$H$19)&gt;=16,SUM(Skills!$G$15+Skills!$H$15)&gt;=16,SUM(Skills!$G$16+Skills!$H$16)&gt;=16,SUM(Skills!$G$23+Skills!$H$23)&gt;=16,General!B1="Quarian"),"Yes","No")</f>
        <v>No</v>
      </c>
      <c r="X87" s="290" t="str">
        <f>IF(AND(SUM(Skills!$G$19+Skills!$H$19)&gt;=18,SUM(Skills!$G$15+Skills!$H$15)&gt;=18,SUM(Skills!$G$16+Skills!$H$16)&gt;=18,SUM(Skills!$G$23+Skills!$H$23)&gt;=18,General!B1="Quarian"),"Yes","No")</f>
        <v>No</v>
      </c>
      <c r="Y87" s="290" t="str">
        <f>IF(AND(SUM(Skills!$G$19+Skills!$H$19)&gt;=18,SUM(Skills!$G$15+Skills!$H$15)&gt;=18,SUM(Skills!$G$16+Skills!$H$16)&gt;=18,SUM(Skills!$G$23+Skills!$H$23)&gt;=18,General!B1="Quarian"),"Yes","No")</f>
        <v>No</v>
      </c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</row>
    <row r="88" spans="1:43" ht="18" customHeight="1" x14ac:dyDescent="0.25">
      <c r="A88" s="691" t="s">
        <v>1037</v>
      </c>
      <c r="B88" s="692"/>
      <c r="C88" s="721">
        <v>1</v>
      </c>
      <c r="D88" s="468"/>
      <c r="E88" s="721">
        <v>1</v>
      </c>
      <c r="F88" s="468"/>
      <c r="G88" s="275">
        <v>2</v>
      </c>
      <c r="H88" s="270" t="s">
        <v>53</v>
      </c>
      <c r="I88" s="270" t="s">
        <v>53</v>
      </c>
      <c r="J88" s="270" t="s">
        <v>53</v>
      </c>
      <c r="K88" s="270" t="s">
        <v>53</v>
      </c>
      <c r="L88" s="270" t="s">
        <v>53</v>
      </c>
      <c r="M88" s="270" t="s">
        <v>53</v>
      </c>
      <c r="N88" s="36"/>
      <c r="O88" s="691" t="s">
        <v>1250</v>
      </c>
      <c r="P88" s="692"/>
      <c r="Q88" s="290">
        <f>10+ROUNDDOWN(SUM(Skills!$G$23+Skills!$H$23)/2,0)+General!$N$12</f>
        <v>5</v>
      </c>
      <c r="R88" s="290">
        <f>10+ROUNDDOWN(SUM(Skills!$G$23+Skills!$H$23)/2,0)+General!$N$12</f>
        <v>5</v>
      </c>
      <c r="S88" s="290">
        <f>10+ROUNDDOWN(SUM(Skills!$G$23+Skills!$H$23)/2,0)+General!$N$12</f>
        <v>5</v>
      </c>
      <c r="T88" s="290">
        <f>10+ROUNDDOWN(SUM(Skills!$G$23+Skills!$H$23)/2,0)+General!$N$12</f>
        <v>5</v>
      </c>
      <c r="U88" s="290">
        <f>10+ROUNDDOWN(SUM(Skills!$G$23+Skills!$H$23)/2,0)+General!$N$12</f>
        <v>5</v>
      </c>
      <c r="V88" s="290">
        <f>10+ROUNDDOWN(SUM(Skills!$G$23+Skills!$H$23)/2,0)+General!$N$12</f>
        <v>5</v>
      </c>
      <c r="W88" s="290">
        <f>10+ROUNDDOWN(SUM(Skills!$G$23+Skills!$H$23)/2,0)+General!$N$12</f>
        <v>5</v>
      </c>
      <c r="X88" s="290">
        <f>10+ROUNDDOWN(SUM(Skills!$G$23+Skills!$H$23)/2,0)+General!$N$12</f>
        <v>5</v>
      </c>
      <c r="Y88" s="290">
        <f>10+ROUNDDOWN(SUM(Skills!$G$23+Skills!$H$23)/2,0)+General!$N$12</f>
        <v>5</v>
      </c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</row>
    <row r="89" spans="1:43" ht="18" customHeight="1" x14ac:dyDescent="0.25">
      <c r="A89" s="691" t="s">
        <v>1117</v>
      </c>
      <c r="B89" s="692"/>
      <c r="C89" s="468" t="s">
        <v>53</v>
      </c>
      <c r="D89" s="468"/>
      <c r="E89" s="468" t="s">
        <v>53</v>
      </c>
      <c r="F89" s="468"/>
      <c r="G89" s="270" t="s">
        <v>53</v>
      </c>
      <c r="H89" s="270" t="s">
        <v>251</v>
      </c>
      <c r="I89" s="270" t="s">
        <v>53</v>
      </c>
      <c r="J89" s="270" t="s">
        <v>53</v>
      </c>
      <c r="K89" s="270" t="s">
        <v>53</v>
      </c>
      <c r="L89" s="270" t="s">
        <v>53</v>
      </c>
      <c r="M89" s="270" t="s">
        <v>53</v>
      </c>
      <c r="N89" s="36"/>
      <c r="O89" s="691" t="s">
        <v>582</v>
      </c>
      <c r="P89" s="692"/>
      <c r="Q89" s="290">
        <v>5</v>
      </c>
      <c r="R89" s="290">
        <v>5</v>
      </c>
      <c r="S89" s="290">
        <v>6</v>
      </c>
      <c r="T89" s="299" t="s">
        <v>450</v>
      </c>
      <c r="U89" s="299" t="s">
        <v>450</v>
      </c>
      <c r="V89" s="299" t="s">
        <v>517</v>
      </c>
      <c r="W89" s="299" t="s">
        <v>517</v>
      </c>
      <c r="X89" s="299" t="s">
        <v>450</v>
      </c>
      <c r="Y89" s="299" t="s">
        <v>450</v>
      </c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</row>
    <row r="90" spans="1:43" ht="18" customHeight="1" x14ac:dyDescent="0.25">
      <c r="A90" s="691" t="s">
        <v>1118</v>
      </c>
      <c r="B90" s="692"/>
      <c r="C90" s="468" t="s">
        <v>53</v>
      </c>
      <c r="D90" s="468"/>
      <c r="E90" s="468" t="s">
        <v>53</v>
      </c>
      <c r="F90" s="468"/>
      <c r="G90" s="270" t="s">
        <v>53</v>
      </c>
      <c r="H90" s="270" t="s">
        <v>53</v>
      </c>
      <c r="I90" s="275" t="s">
        <v>450</v>
      </c>
      <c r="J90" s="270" t="s">
        <v>53</v>
      </c>
      <c r="K90" s="270" t="s">
        <v>53</v>
      </c>
      <c r="L90" s="270" t="s">
        <v>53</v>
      </c>
      <c r="M90" s="270" t="s">
        <v>53</v>
      </c>
      <c r="N90" s="36"/>
      <c r="O90" s="691" t="s">
        <v>249</v>
      </c>
      <c r="P90" s="692"/>
      <c r="Q90" s="294">
        <v>6</v>
      </c>
      <c r="R90" s="294">
        <v>6</v>
      </c>
      <c r="S90" s="294">
        <v>9</v>
      </c>
      <c r="T90" s="290" t="s">
        <v>53</v>
      </c>
      <c r="U90" s="290" t="s">
        <v>53</v>
      </c>
      <c r="V90" s="290" t="s">
        <v>53</v>
      </c>
      <c r="W90" s="290" t="s">
        <v>53</v>
      </c>
      <c r="X90" s="290" t="s">
        <v>53</v>
      </c>
      <c r="Y90" s="299" t="s">
        <v>1253</v>
      </c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</row>
    <row r="91" spans="1:43" ht="18" customHeight="1" x14ac:dyDescent="0.25">
      <c r="A91" s="691" t="s">
        <v>1119</v>
      </c>
      <c r="B91" s="692"/>
      <c r="C91" s="468" t="s">
        <v>53</v>
      </c>
      <c r="D91" s="468"/>
      <c r="E91" s="468" t="s">
        <v>53</v>
      </c>
      <c r="F91" s="468"/>
      <c r="G91" s="270" t="s">
        <v>53</v>
      </c>
      <c r="H91" s="270" t="s">
        <v>53</v>
      </c>
      <c r="I91" s="275" t="s">
        <v>450</v>
      </c>
      <c r="J91" s="270" t="s">
        <v>53</v>
      </c>
      <c r="K91" s="270" t="s">
        <v>53</v>
      </c>
      <c r="L91" s="270" t="s">
        <v>53</v>
      </c>
      <c r="M91" s="270" t="s">
        <v>53</v>
      </c>
      <c r="N91" s="36"/>
      <c r="O91" s="691" t="s">
        <v>1254</v>
      </c>
      <c r="P91" s="692"/>
      <c r="Q91" s="294" t="s">
        <v>541</v>
      </c>
      <c r="R91" s="294" t="s">
        <v>541</v>
      </c>
      <c r="S91" s="294" t="s">
        <v>541</v>
      </c>
      <c r="T91" s="290" t="s">
        <v>53</v>
      </c>
      <c r="U91" s="299" t="s">
        <v>470</v>
      </c>
      <c r="V91" s="290" t="s">
        <v>53</v>
      </c>
      <c r="W91" s="290" t="s">
        <v>53</v>
      </c>
      <c r="X91" s="299" t="s">
        <v>1039</v>
      </c>
      <c r="Y91" s="290" t="s">
        <v>53</v>
      </c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</row>
    <row r="92" spans="1:43" ht="18" customHeight="1" x14ac:dyDescent="0.25">
      <c r="A92" s="691" t="s">
        <v>1120</v>
      </c>
      <c r="B92" s="692"/>
      <c r="C92" s="468" t="s">
        <v>53</v>
      </c>
      <c r="D92" s="468"/>
      <c r="E92" s="468" t="s">
        <v>53</v>
      </c>
      <c r="F92" s="468"/>
      <c r="G92" s="270" t="s">
        <v>53</v>
      </c>
      <c r="H92" s="270" t="s">
        <v>53</v>
      </c>
      <c r="I92" s="270" t="s">
        <v>53</v>
      </c>
      <c r="J92" s="275" t="s">
        <v>470</v>
      </c>
      <c r="K92" s="270" t="s">
        <v>53</v>
      </c>
      <c r="L92" s="270" t="s">
        <v>53</v>
      </c>
      <c r="M92" s="270" t="s">
        <v>53</v>
      </c>
      <c r="N92" s="36"/>
      <c r="O92" s="691" t="s">
        <v>545</v>
      </c>
      <c r="P92" s="692"/>
      <c r="Q92" s="294">
        <v>5</v>
      </c>
      <c r="R92" s="294">
        <v>5</v>
      </c>
      <c r="S92" s="294">
        <v>5</v>
      </c>
      <c r="T92" s="290" t="s">
        <v>53</v>
      </c>
      <c r="U92" s="290" t="s">
        <v>53</v>
      </c>
      <c r="V92" s="290" t="s">
        <v>53</v>
      </c>
      <c r="W92" s="299" t="s">
        <v>482</v>
      </c>
      <c r="X92" s="290" t="s">
        <v>53</v>
      </c>
      <c r="Y92" s="290" t="s">
        <v>53</v>
      </c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</row>
    <row r="93" spans="1:43" ht="18" customHeight="1" x14ac:dyDescent="0.25">
      <c r="A93" s="691" t="s">
        <v>1121</v>
      </c>
      <c r="B93" s="692"/>
      <c r="C93" s="468" t="s">
        <v>53</v>
      </c>
      <c r="D93" s="468"/>
      <c r="E93" s="468" t="s">
        <v>53</v>
      </c>
      <c r="F93" s="468"/>
      <c r="G93" s="270" t="s">
        <v>53</v>
      </c>
      <c r="H93" s="270" t="s">
        <v>53</v>
      </c>
      <c r="I93" s="270" t="s">
        <v>53</v>
      </c>
      <c r="J93" s="270" t="s">
        <v>53</v>
      </c>
      <c r="K93" s="275" t="s">
        <v>450</v>
      </c>
      <c r="L93" s="270" t="s">
        <v>53</v>
      </c>
      <c r="M93" s="270" t="s">
        <v>53</v>
      </c>
      <c r="N93" s="36"/>
      <c r="O93" s="691" t="s">
        <v>1255</v>
      </c>
      <c r="P93" s="692"/>
      <c r="Q93" s="294">
        <v>1</v>
      </c>
      <c r="R93" s="294">
        <v>1</v>
      </c>
      <c r="S93" s="294">
        <v>1</v>
      </c>
      <c r="T93" s="290" t="s">
        <v>53</v>
      </c>
      <c r="U93" s="290" t="s">
        <v>53</v>
      </c>
      <c r="V93" s="290" t="s">
        <v>53</v>
      </c>
      <c r="W93" s="290" t="s">
        <v>53</v>
      </c>
      <c r="X93" s="299" t="s">
        <v>450</v>
      </c>
      <c r="Y93" s="290" t="s">
        <v>53</v>
      </c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</row>
    <row r="94" spans="1:43" x14ac:dyDescent="0.25">
      <c r="A94" s="691" t="s">
        <v>1122</v>
      </c>
      <c r="B94" s="692"/>
      <c r="C94" s="468" t="s">
        <v>53</v>
      </c>
      <c r="D94" s="468"/>
      <c r="E94" s="468" t="s">
        <v>53</v>
      </c>
      <c r="F94" s="468"/>
      <c r="G94" s="270" t="s">
        <v>53</v>
      </c>
      <c r="H94" s="270" t="s">
        <v>53</v>
      </c>
      <c r="I94" s="270" t="s">
        <v>53</v>
      </c>
      <c r="J94" s="270" t="s">
        <v>53</v>
      </c>
      <c r="K94" s="275" t="s">
        <v>450</v>
      </c>
      <c r="L94" s="270" t="s">
        <v>53</v>
      </c>
      <c r="M94" s="275" t="s">
        <v>450</v>
      </c>
      <c r="N94" s="36"/>
      <c r="O94" s="691" t="s">
        <v>1256</v>
      </c>
      <c r="P94" s="692"/>
      <c r="Q94" s="290" t="s">
        <v>53</v>
      </c>
      <c r="R94" s="290" t="s">
        <v>53</v>
      </c>
      <c r="S94" s="290" t="s">
        <v>53</v>
      </c>
      <c r="T94" s="290" t="s">
        <v>53</v>
      </c>
      <c r="U94" s="290" t="s">
        <v>53</v>
      </c>
      <c r="V94" s="299" t="s">
        <v>450</v>
      </c>
      <c r="W94" s="290" t="s">
        <v>53</v>
      </c>
      <c r="X94" s="290" t="s">
        <v>53</v>
      </c>
      <c r="Y94" s="290" t="s">
        <v>53</v>
      </c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 ht="18" customHeight="1" x14ac:dyDescent="0.25">
      <c r="A95" s="691" t="s">
        <v>449</v>
      </c>
      <c r="B95" s="692"/>
      <c r="C95" s="468">
        <v>1</v>
      </c>
      <c r="D95" s="468"/>
      <c r="E95" s="468">
        <v>1</v>
      </c>
      <c r="F95" s="468"/>
      <c r="G95" s="261">
        <v>1</v>
      </c>
      <c r="H95" s="261" t="s">
        <v>53</v>
      </c>
      <c r="I95" s="261" t="s">
        <v>53</v>
      </c>
      <c r="J95" s="261" t="s">
        <v>53</v>
      </c>
      <c r="K95" s="270" t="s">
        <v>53</v>
      </c>
      <c r="L95" s="261" t="s">
        <v>53</v>
      </c>
      <c r="M95" s="270" t="s">
        <v>53</v>
      </c>
      <c r="N95" s="36"/>
      <c r="O95" s="691" t="s">
        <v>552</v>
      </c>
      <c r="P95" s="692"/>
      <c r="Q95" s="290" t="s">
        <v>53</v>
      </c>
      <c r="R95" s="290" t="s">
        <v>53</v>
      </c>
      <c r="S95" s="290" t="s">
        <v>53</v>
      </c>
      <c r="T95" s="299" t="s">
        <v>450</v>
      </c>
      <c r="U95" s="290" t="s">
        <v>53</v>
      </c>
      <c r="V95" s="290" t="s">
        <v>53</v>
      </c>
      <c r="W95" s="290" t="s">
        <v>53</v>
      </c>
      <c r="X95" s="290" t="s">
        <v>53</v>
      </c>
      <c r="Y95" s="290" t="s">
        <v>53</v>
      </c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</row>
    <row r="96" spans="1:43" ht="18" customHeight="1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691" t="s">
        <v>449</v>
      </c>
      <c r="P96" s="692"/>
      <c r="Q96" s="294">
        <v>2</v>
      </c>
      <c r="R96" s="294">
        <v>1</v>
      </c>
      <c r="S96" s="294">
        <v>1</v>
      </c>
      <c r="T96" s="290" t="s">
        <v>53</v>
      </c>
      <c r="U96" s="290" t="s">
        <v>53</v>
      </c>
      <c r="V96" s="290" t="s">
        <v>53</v>
      </c>
      <c r="W96" s="290" t="s">
        <v>53</v>
      </c>
      <c r="X96" s="290" t="s">
        <v>53</v>
      </c>
      <c r="Y96" s="290" t="s">
        <v>53</v>
      </c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</row>
    <row r="97" spans="1:43" ht="18" customHeight="1" x14ac:dyDescent="0.25">
      <c r="A97" s="695" t="s">
        <v>266</v>
      </c>
      <c r="B97" s="696"/>
      <c r="C97" s="710" t="s">
        <v>437</v>
      </c>
      <c r="D97" s="711"/>
      <c r="E97" s="710" t="s">
        <v>439</v>
      </c>
      <c r="F97" s="711"/>
      <c r="G97" s="701" t="s">
        <v>438</v>
      </c>
      <c r="H97" s="691" t="s">
        <v>440</v>
      </c>
      <c r="I97" s="692"/>
      <c r="J97" s="691" t="s">
        <v>441</v>
      </c>
      <c r="K97" s="692"/>
      <c r="L97" s="691" t="s">
        <v>442</v>
      </c>
      <c r="M97" s="692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</row>
    <row r="98" spans="1:43" ht="18" customHeight="1" x14ac:dyDescent="0.25">
      <c r="A98" s="697"/>
      <c r="B98" s="698"/>
      <c r="C98" s="712"/>
      <c r="D98" s="713"/>
      <c r="E98" s="712"/>
      <c r="F98" s="713"/>
      <c r="G98" s="703"/>
      <c r="H98" s="154" t="s">
        <v>467</v>
      </c>
      <c r="I98" s="152" t="s">
        <v>466</v>
      </c>
      <c r="J98" s="154" t="s">
        <v>702</v>
      </c>
      <c r="K98" s="152" t="s">
        <v>453</v>
      </c>
      <c r="L98" s="154" t="s">
        <v>703</v>
      </c>
      <c r="M98" s="152" t="s">
        <v>469</v>
      </c>
      <c r="N98" s="36"/>
      <c r="O98" s="695" t="s">
        <v>1712</v>
      </c>
      <c r="P98" s="696"/>
      <c r="Q98" s="701" t="s">
        <v>437</v>
      </c>
      <c r="R98" s="701" t="s">
        <v>439</v>
      </c>
      <c r="S98" s="701" t="s">
        <v>438</v>
      </c>
      <c r="T98" s="691" t="s">
        <v>440</v>
      </c>
      <c r="U98" s="692"/>
      <c r="V98" s="691" t="s">
        <v>441</v>
      </c>
      <c r="W98" s="692"/>
      <c r="X98" s="691" t="s">
        <v>442</v>
      </c>
      <c r="Y98" s="692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</row>
    <row r="99" spans="1:43" ht="32.25" customHeight="1" x14ac:dyDescent="0.25">
      <c r="A99" s="542" t="s">
        <v>248</v>
      </c>
      <c r="B99" s="542"/>
      <c r="C99" s="708"/>
      <c r="D99" s="709"/>
      <c r="E99" s="708"/>
      <c r="F99" s="709"/>
      <c r="G99" s="193"/>
      <c r="H99" s="191"/>
      <c r="I99" s="194"/>
      <c r="J99" s="191"/>
      <c r="K99" s="194"/>
      <c r="L99" s="191"/>
      <c r="M99" s="194"/>
      <c r="N99" s="36"/>
      <c r="O99" s="697"/>
      <c r="P99" s="698"/>
      <c r="Q99" s="703"/>
      <c r="R99" s="703"/>
      <c r="S99" s="703"/>
      <c r="T99" s="154" t="s">
        <v>1713</v>
      </c>
      <c r="U99" s="152" t="s">
        <v>1714</v>
      </c>
      <c r="V99" s="152" t="s">
        <v>1715</v>
      </c>
      <c r="W99" s="152" t="s">
        <v>1716</v>
      </c>
      <c r="X99" s="154" t="s">
        <v>1717</v>
      </c>
      <c r="Y99" s="154" t="s">
        <v>1718</v>
      </c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</row>
    <row r="100" spans="1:43" ht="18" customHeight="1" x14ac:dyDescent="0.25">
      <c r="A100" s="542" t="s">
        <v>247</v>
      </c>
      <c r="B100" s="542"/>
      <c r="C100" s="469" t="str">
        <f>IF(SUM(Skills!$G$19+Skills!$H$19)&gt;=3,"Yes","No")</f>
        <v>No</v>
      </c>
      <c r="D100" s="470"/>
      <c r="E100" s="469" t="str">
        <f>IF(SUM(Skills!$G$19+Skills!$H$19)&gt;=5,"Yes","No")</f>
        <v>No</v>
      </c>
      <c r="F100" s="470"/>
      <c r="G100" s="195" t="str">
        <f>IF(SUM(Skills!$G$19+Skills!$H$19)&gt;=7,"Yes","No")</f>
        <v>No</v>
      </c>
      <c r="H100" s="195" t="str">
        <f>IF(SUM(Skills!$G$19+Skills!$H$19)&gt;=9,"Yes","No")</f>
        <v>No</v>
      </c>
      <c r="I100" s="195" t="str">
        <f>IF(SUM(Skills!$G$19+Skills!$H$19)&gt;=9,"Yes","No")</f>
        <v>No</v>
      </c>
      <c r="J100" s="195" t="str">
        <f>IF(SUM(Skills!$G$19+Skills!$H$19)&gt;=11,"Yes","No")</f>
        <v>No</v>
      </c>
      <c r="K100" s="195" t="str">
        <f>IF(SUM(Skills!$G$19+Skills!$H$19)&gt;=11,"Yes","No")</f>
        <v>No</v>
      </c>
      <c r="L100" s="195" t="str">
        <f>IF(SUM(Skills!$G$19+Skills!$H$19)&gt;=13,"Yes","No")</f>
        <v>No</v>
      </c>
      <c r="M100" s="198" t="str">
        <f>IF(SUM(Skills!$G$19+Skills!$H$19)&gt;=13,"Yes","No")</f>
        <v>No</v>
      </c>
      <c r="N100" s="36"/>
      <c r="O100" s="542" t="s">
        <v>248</v>
      </c>
      <c r="P100" s="542"/>
      <c r="Q100" s="101"/>
      <c r="R100" s="447"/>
      <c r="S100" s="447"/>
      <c r="T100" s="443"/>
      <c r="U100" s="448"/>
      <c r="V100" s="443"/>
      <c r="W100" s="448"/>
      <c r="X100" s="443"/>
      <c r="Y100" s="448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</row>
    <row r="101" spans="1:43" ht="18" customHeight="1" x14ac:dyDescent="0.25">
      <c r="A101" s="691" t="s">
        <v>582</v>
      </c>
      <c r="B101" s="692"/>
      <c r="C101" s="469">
        <v>2</v>
      </c>
      <c r="D101" s="470"/>
      <c r="E101" s="469">
        <v>2</v>
      </c>
      <c r="F101" s="470"/>
      <c r="G101" s="198">
        <v>2</v>
      </c>
      <c r="H101" s="155" t="s">
        <v>450</v>
      </c>
      <c r="I101" s="155" t="s">
        <v>450</v>
      </c>
      <c r="J101" s="155" t="s">
        <v>450</v>
      </c>
      <c r="K101" s="155" t="s">
        <v>450</v>
      </c>
      <c r="L101" s="155" t="s">
        <v>450</v>
      </c>
      <c r="M101" s="155" t="s">
        <v>450</v>
      </c>
      <c r="N101" s="36"/>
      <c r="O101" s="542" t="s">
        <v>247</v>
      </c>
      <c r="P101" s="542"/>
      <c r="Q101" s="441" t="str">
        <f>IF(AND(SUM(Skills!G16+Skills!H16)&gt;=4,SUM(Skills!G19+Skills!H19)&gt;=4,SUM(Skills!G40+Skills!H40)&gt;=2,SUM(Skills!G56+Skills!H56)&gt;=4),"Yes","No")</f>
        <v>No</v>
      </c>
      <c r="R101" s="441" t="str">
        <f>IF(AND(SUM(Skills!G16+Skills!H16)&gt;=6,SUM(Skills!G19+Skills!H19)&gt;=6,SUM(Skills!G40+Skills!H40)&gt;=4,SUM(Skills!G56+Skills!H56)&gt;=6),"Yes","No")</f>
        <v>No</v>
      </c>
      <c r="S101" s="441" t="str">
        <f>IF(AND(SUM(Skills!G16+Skills!H16)&gt;=8,SUM(Skills!G19+Skills!H19)&gt;=8,SUM(Skills!G40+Skills!H40)&gt;=6,SUM(Skills!G56+Skills!H56)&gt;=8),"Yes","No")</f>
        <v>No</v>
      </c>
      <c r="T101" s="441" t="str">
        <f>IF(AND(SUM(Skills!G16+Skills!H16)&gt;=10,SUM(Skills!G19+Skills!H19)&gt;=10,SUM(Skills!G40+Skills!H40)&gt;=8,SUM(Skills!G56+Skills!H56)&gt;=10),"Yes","No")</f>
        <v>No</v>
      </c>
      <c r="U101" s="441" t="str">
        <f>IF(AND(SUM(Skills!G16+Skills!H16)&gt;=10,SUM(Skills!G19+Skills!H19)&gt;=10,SUM(Skills!G40+Skills!H40)&gt;=8,SUM(Skills!G56+Skills!H56)&gt;=10),"Yes","No")</f>
        <v>No</v>
      </c>
      <c r="V101" s="441" t="str">
        <f>IF(AND(SUM(Skills!G16+Skills!H16)&gt;=12,SUM(Skills!G19+Skills!H19)&gt;=12,SUM(Skills!G40+Skills!H40)&gt;=10,SUM(Skills!G56+Skills!H56)&gt;=12),"Yes","No")</f>
        <v>No</v>
      </c>
      <c r="W101" s="441" t="str">
        <f>IF(AND(SUM(Skills!G16+Skills!H16)&gt;=12,SUM(Skills!G19+Skills!H19)&gt;=12,SUM(Skills!G40+Skills!H40)&gt;=10,SUM(Skills!G56+Skills!H56)&gt;=12),"Yes","No")</f>
        <v>No</v>
      </c>
      <c r="X101" s="441" t="str">
        <f>IF(AND(SUM(Skills!G16+Skills!H16)&gt;=14,SUM(Skills!G19+Skills!H19)&gt;=14,SUM(Skills!G40+Skills!H40)&gt;=12,SUM(Skills!G56+Skills!H56)&gt;=14),"Yes","No")</f>
        <v>No</v>
      </c>
      <c r="Y101" s="441" t="str">
        <f>IF(AND(SUM(Skills!G16+Skills!H16)&gt;=14,SUM(Skills!G19+Skills!H19)&gt;=14,SUM(Skills!G40+Skills!H40)&gt;=12,SUM(Skills!G56+Skills!H56)&gt;=14),"Yes","No")</f>
        <v>No</v>
      </c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</row>
    <row r="102" spans="1:43" ht="18" customHeight="1" x14ac:dyDescent="0.25">
      <c r="A102" s="542" t="s">
        <v>467</v>
      </c>
      <c r="B102" s="542"/>
      <c r="C102" s="469" t="s">
        <v>1803</v>
      </c>
      <c r="D102" s="470"/>
      <c r="E102" s="469" t="s">
        <v>1803</v>
      </c>
      <c r="F102" s="470"/>
      <c r="G102" s="195" t="s">
        <v>1804</v>
      </c>
      <c r="H102" s="466" t="s">
        <v>1805</v>
      </c>
      <c r="I102" s="198" t="s">
        <v>53</v>
      </c>
      <c r="J102" s="466" t="s">
        <v>1806</v>
      </c>
      <c r="K102" s="198" t="s">
        <v>53</v>
      </c>
      <c r="L102" s="198" t="s">
        <v>53</v>
      </c>
      <c r="M102" s="198" t="s">
        <v>53</v>
      </c>
      <c r="N102" s="36"/>
      <c r="O102" s="691" t="s">
        <v>1131</v>
      </c>
      <c r="P102" s="692"/>
      <c r="Q102" s="441">
        <v>2</v>
      </c>
      <c r="R102" s="441">
        <v>2</v>
      </c>
      <c r="S102" s="441">
        <v>3</v>
      </c>
      <c r="T102" s="451" t="s">
        <v>450</v>
      </c>
      <c r="U102" s="451" t="s">
        <v>450</v>
      </c>
      <c r="V102" s="451" t="s">
        <v>517</v>
      </c>
      <c r="W102" s="451" t="s">
        <v>450</v>
      </c>
      <c r="X102" s="451" t="s">
        <v>517</v>
      </c>
      <c r="Y102" s="451" t="s">
        <v>517</v>
      </c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</row>
    <row r="103" spans="1:43" ht="18" customHeight="1" x14ac:dyDescent="0.25">
      <c r="A103" s="691" t="s">
        <v>704</v>
      </c>
      <c r="B103" s="692"/>
      <c r="C103" s="536">
        <v>50</v>
      </c>
      <c r="D103" s="538"/>
      <c r="E103" s="536">
        <v>50</v>
      </c>
      <c r="F103" s="538"/>
      <c r="G103" s="196">
        <v>50</v>
      </c>
      <c r="H103" s="198" t="s">
        <v>53</v>
      </c>
      <c r="I103" s="198" t="s">
        <v>53</v>
      </c>
      <c r="J103" s="198" t="s">
        <v>53</v>
      </c>
      <c r="K103" s="198" t="s">
        <v>53</v>
      </c>
      <c r="L103" s="198" t="s">
        <v>53</v>
      </c>
      <c r="M103" s="198">
        <v>100</v>
      </c>
      <c r="N103" s="36"/>
      <c r="O103" s="691" t="s">
        <v>1719</v>
      </c>
      <c r="P103" s="692"/>
      <c r="Q103" s="441">
        <f>2*General!N12</f>
        <v>-10</v>
      </c>
      <c r="R103" s="441">
        <f>2*General!N12</f>
        <v>-10</v>
      </c>
      <c r="S103" s="441">
        <f>3*General!N12</f>
        <v>-15</v>
      </c>
      <c r="T103" s="441" t="s">
        <v>53</v>
      </c>
      <c r="U103" s="441" t="s">
        <v>53</v>
      </c>
      <c r="V103" s="451" t="str">
        <f>"+"&amp;2*General!N12</f>
        <v>+-10</v>
      </c>
      <c r="W103" s="441" t="s">
        <v>53</v>
      </c>
      <c r="X103" s="441" t="s">
        <v>53</v>
      </c>
      <c r="Y103" s="441" t="s">
        <v>53</v>
      </c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</row>
    <row r="104" spans="1:43" ht="18" customHeight="1" x14ac:dyDescent="0.25">
      <c r="A104" s="720" t="s">
        <v>1257</v>
      </c>
      <c r="B104" s="720"/>
      <c r="C104" s="468">
        <v>1</v>
      </c>
      <c r="D104" s="468"/>
      <c r="E104" s="563">
        <v>2</v>
      </c>
      <c r="F104" s="563"/>
      <c r="G104" s="563">
        <v>3</v>
      </c>
      <c r="H104" s="563">
        <v>4</v>
      </c>
      <c r="I104" s="563">
        <v>4</v>
      </c>
      <c r="J104" s="563">
        <v>5</v>
      </c>
      <c r="K104" s="563">
        <v>5</v>
      </c>
      <c r="L104" s="563">
        <v>6</v>
      </c>
      <c r="M104" s="563">
        <v>6</v>
      </c>
      <c r="N104" s="36"/>
      <c r="O104" s="691" t="s">
        <v>1720</v>
      </c>
      <c r="P104" s="692"/>
      <c r="Q104" s="441">
        <v>1</v>
      </c>
      <c r="R104" s="441">
        <v>1</v>
      </c>
      <c r="S104" s="441">
        <v>1</v>
      </c>
      <c r="T104" s="441" t="s">
        <v>53</v>
      </c>
      <c r="U104" s="441" t="s">
        <v>53</v>
      </c>
      <c r="V104" s="451" t="s">
        <v>450</v>
      </c>
      <c r="W104" s="441" t="s">
        <v>53</v>
      </c>
      <c r="X104" s="441" t="s">
        <v>53</v>
      </c>
      <c r="Y104" s="441" t="s">
        <v>53</v>
      </c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</row>
    <row r="105" spans="1:43" ht="18" customHeight="1" x14ac:dyDescent="0.25">
      <c r="A105" s="720"/>
      <c r="B105" s="720"/>
      <c r="C105" s="468"/>
      <c r="D105" s="468"/>
      <c r="E105" s="563"/>
      <c r="F105" s="563"/>
      <c r="G105" s="563"/>
      <c r="H105" s="563"/>
      <c r="I105" s="563"/>
      <c r="J105" s="563"/>
      <c r="K105" s="563"/>
      <c r="L105" s="563"/>
      <c r="M105" s="563"/>
      <c r="N105" s="36"/>
      <c r="O105" s="691" t="s">
        <v>1721</v>
      </c>
      <c r="P105" s="692"/>
      <c r="Q105" s="441" t="s">
        <v>53</v>
      </c>
      <c r="R105" s="441" t="s">
        <v>53</v>
      </c>
      <c r="S105" s="441" t="s">
        <v>53</v>
      </c>
      <c r="T105" s="441" t="s">
        <v>53</v>
      </c>
      <c r="U105" s="451" t="s">
        <v>450</v>
      </c>
      <c r="V105" s="441" t="s">
        <v>53</v>
      </c>
      <c r="W105" s="441" t="s">
        <v>53</v>
      </c>
      <c r="X105" s="441" t="s">
        <v>53</v>
      </c>
      <c r="Y105" s="441" t="s">
        <v>53</v>
      </c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</row>
    <row r="106" spans="1:43" ht="18" customHeight="1" x14ac:dyDescent="0.25">
      <c r="A106" s="691" t="s">
        <v>449</v>
      </c>
      <c r="B106" s="692"/>
      <c r="C106" s="469">
        <v>4</v>
      </c>
      <c r="D106" s="470"/>
      <c r="E106" s="469">
        <v>3</v>
      </c>
      <c r="F106" s="470"/>
      <c r="G106" s="195">
        <v>3</v>
      </c>
      <c r="H106" s="198" t="s">
        <v>53</v>
      </c>
      <c r="I106" s="198" t="s">
        <v>53</v>
      </c>
      <c r="J106" s="198" t="s">
        <v>53</v>
      </c>
      <c r="K106" s="155" t="s">
        <v>459</v>
      </c>
      <c r="L106" s="198" t="s">
        <v>53</v>
      </c>
      <c r="M106" s="198" t="s">
        <v>53</v>
      </c>
      <c r="N106" s="36"/>
      <c r="O106" s="691" t="s">
        <v>1708</v>
      </c>
      <c r="P106" s="692"/>
      <c r="Q106" s="441" t="s">
        <v>53</v>
      </c>
      <c r="R106" s="441" t="s">
        <v>53</v>
      </c>
      <c r="S106" s="441" t="s">
        <v>53</v>
      </c>
      <c r="T106" s="441" t="s">
        <v>53</v>
      </c>
      <c r="U106" s="441" t="s">
        <v>53</v>
      </c>
      <c r="V106" s="441" t="s">
        <v>53</v>
      </c>
      <c r="W106" s="441" t="s">
        <v>53</v>
      </c>
      <c r="X106" s="451" t="s">
        <v>450</v>
      </c>
      <c r="Y106" s="441" t="s">
        <v>53</v>
      </c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</row>
    <row r="107" spans="1:43" ht="18" customHeight="1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691" t="s">
        <v>1722</v>
      </c>
      <c r="P107" s="692"/>
      <c r="Q107" s="441" t="s">
        <v>53</v>
      </c>
      <c r="R107" s="441" t="s">
        <v>53</v>
      </c>
      <c r="S107" s="441" t="s">
        <v>53</v>
      </c>
      <c r="T107" s="441" t="s">
        <v>53</v>
      </c>
      <c r="U107" s="441" t="s">
        <v>53</v>
      </c>
      <c r="V107" s="441" t="s">
        <v>53</v>
      </c>
      <c r="W107" s="441" t="s">
        <v>53</v>
      </c>
      <c r="X107" s="441" t="s">
        <v>53</v>
      </c>
      <c r="Y107" s="441">
        <f>General!N12</f>
        <v>-5</v>
      </c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</row>
    <row r="108" spans="1:43" ht="18" customHeight="1" x14ac:dyDescent="0.25">
      <c r="A108" s="695" t="s">
        <v>1702</v>
      </c>
      <c r="B108" s="696"/>
      <c r="C108" s="710" t="s">
        <v>437</v>
      </c>
      <c r="D108" s="711"/>
      <c r="E108" s="710" t="s">
        <v>439</v>
      </c>
      <c r="F108" s="711"/>
      <c r="G108" s="701" t="s">
        <v>438</v>
      </c>
      <c r="H108" s="691" t="s">
        <v>440</v>
      </c>
      <c r="I108" s="692"/>
      <c r="J108" s="691" t="s">
        <v>441</v>
      </c>
      <c r="K108" s="692"/>
      <c r="L108" s="691" t="s">
        <v>442</v>
      </c>
      <c r="M108" s="692"/>
      <c r="N108" s="36"/>
      <c r="O108" s="691" t="s">
        <v>449</v>
      </c>
      <c r="P108" s="692"/>
      <c r="Q108" s="442">
        <v>3</v>
      </c>
      <c r="R108" s="442">
        <v>3</v>
      </c>
      <c r="S108" s="442">
        <v>3</v>
      </c>
      <c r="T108" s="441" t="s">
        <v>53</v>
      </c>
      <c r="U108" s="441" t="s">
        <v>53</v>
      </c>
      <c r="V108" s="441" t="s">
        <v>53</v>
      </c>
      <c r="W108" s="441" t="s">
        <v>53</v>
      </c>
      <c r="X108" s="441" t="s">
        <v>53</v>
      </c>
      <c r="Y108" s="441" t="s">
        <v>53</v>
      </c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</row>
    <row r="109" spans="1:43" ht="31.5" customHeight="1" x14ac:dyDescent="0.25">
      <c r="A109" s="697"/>
      <c r="B109" s="698"/>
      <c r="C109" s="712"/>
      <c r="D109" s="713"/>
      <c r="E109" s="712"/>
      <c r="F109" s="713"/>
      <c r="G109" s="703"/>
      <c r="H109" s="154" t="s">
        <v>453</v>
      </c>
      <c r="I109" s="152" t="s">
        <v>1703</v>
      </c>
      <c r="J109" s="154" t="s">
        <v>1704</v>
      </c>
      <c r="K109" s="152" t="s">
        <v>1705</v>
      </c>
      <c r="L109" s="154" t="s">
        <v>1706</v>
      </c>
      <c r="M109" s="152" t="s">
        <v>1707</v>
      </c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</row>
    <row r="110" spans="1:43" ht="18" customHeight="1" x14ac:dyDescent="0.25">
      <c r="A110" s="542" t="s">
        <v>248</v>
      </c>
      <c r="B110" s="542"/>
      <c r="C110" s="708"/>
      <c r="D110" s="709"/>
      <c r="E110" s="708"/>
      <c r="F110" s="709"/>
      <c r="G110" s="447"/>
      <c r="H110" s="443"/>
      <c r="I110" s="448"/>
      <c r="J110" s="443"/>
      <c r="K110" s="448"/>
      <c r="L110" s="443"/>
      <c r="M110" s="448"/>
      <c r="N110" s="36"/>
      <c r="O110" s="695" t="s">
        <v>746</v>
      </c>
      <c r="P110" s="696"/>
      <c r="Q110" s="701" t="s">
        <v>437</v>
      </c>
      <c r="R110" s="701" t="s">
        <v>439</v>
      </c>
      <c r="S110" s="701" t="s">
        <v>438</v>
      </c>
      <c r="T110" s="691" t="s">
        <v>440</v>
      </c>
      <c r="U110" s="692"/>
      <c r="V110" s="691" t="s">
        <v>441</v>
      </c>
      <c r="W110" s="692"/>
      <c r="X110" s="691" t="s">
        <v>442</v>
      </c>
      <c r="Y110" s="692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</row>
    <row r="111" spans="1:43" ht="30" x14ac:dyDescent="0.25">
      <c r="A111" s="542" t="s">
        <v>247</v>
      </c>
      <c r="B111" s="542"/>
      <c r="C111" s="469" t="str">
        <f>IF(AND(SUM(Skills!$G$15+Skills!$H$15)&gt;=5,SUM(Skills!$G$16+Skills!$H$16)&gt;=5,SUM(Skills!$G$23+Skills!$H$23)&gt;=5),"Yes","No")</f>
        <v>No</v>
      </c>
      <c r="D111" s="470"/>
      <c r="E111" s="469" t="str">
        <f>IF(AND(SUM(Skills!$G$15+Skills!$H$15)&gt;=7,SUM(Skills!$G$16+Skills!$H$16)&gt;=7,SUM(Skills!$G$23+Skills!$H$23)&gt;=7),"Yes","No")</f>
        <v>No</v>
      </c>
      <c r="F111" s="470"/>
      <c r="G111" s="442" t="str">
        <f>IF(AND(SUM(Skills!$G$15+Skills!$H$15)&gt;=9,SUM(Skills!$G$16+Skills!$H$16)&gt;=9,SUM(Skills!$G$23+Skills!$H$23)&gt;=9),"Yes","No")</f>
        <v>No</v>
      </c>
      <c r="H111" s="442" t="str">
        <f>IF(AND(SUM(Skills!$G$15+Skills!$H$15)&gt;=11,SUM(Skills!$G$16+Skills!$H$16)&gt;=11,SUM(Skills!$G$23+Skills!$H$23)&gt;=11),"Yes","No")</f>
        <v>No</v>
      </c>
      <c r="I111" s="442" t="str">
        <f>IF(AND(SUM(Skills!$G$15+Skills!$H$15)&gt;=11,SUM(Skills!$G$16+Skills!$H$16)&gt;=11,SUM(Skills!$G$23+Skills!$H$23)&gt;=11),"Yes","No")</f>
        <v>No</v>
      </c>
      <c r="J111" s="442" t="str">
        <f>IF(AND(SUM(Skills!$G$15+Skills!$H$15)&gt;=13,SUM(Skills!$G$16+Skills!$H$16)&gt;=13,SUM(Skills!$G$23+Skills!$H$23)&gt;=13),"Yes","No")</f>
        <v>No</v>
      </c>
      <c r="K111" s="442" t="str">
        <f>IF(AND(SUM(Skills!$G$15+Skills!$H$15)&gt;=13,SUM(Skills!$G$16+Skills!$H$16)&gt;=13,SUM(Skills!$G$23+Skills!$H$23)&gt;=13),"Yes","No")</f>
        <v>No</v>
      </c>
      <c r="L111" s="442" t="str">
        <f>IF(AND(SUM(Skills!$G$15+Skills!$H$15)&gt;=15,SUM(Skills!$G$16+Skills!$H$16)&gt;=15,SUM(Skills!$G$23+Skills!$H$23)&gt;=15),"Yes","No")</f>
        <v>No</v>
      </c>
      <c r="M111" s="441" t="str">
        <f>IF(AND(SUM(Skills!$G$15+Skills!$H$15)&gt;=15,SUM(Skills!$G$16+Skills!$H$16)&gt;=15,SUM(Skills!$G$23+Skills!$H$23)&gt;=15),"Yes","No")</f>
        <v>No</v>
      </c>
      <c r="N111" s="36"/>
      <c r="O111" s="697"/>
      <c r="P111" s="698"/>
      <c r="Q111" s="703"/>
      <c r="R111" s="703"/>
      <c r="S111" s="703"/>
      <c r="T111" s="154" t="s">
        <v>754</v>
      </c>
      <c r="U111" s="152" t="s">
        <v>501</v>
      </c>
      <c r="V111" s="152" t="s">
        <v>755</v>
      </c>
      <c r="W111" s="152" t="s">
        <v>502</v>
      </c>
      <c r="X111" s="154" t="s">
        <v>756</v>
      </c>
      <c r="Y111" s="154" t="s">
        <v>757</v>
      </c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</row>
    <row r="112" spans="1:43" ht="18" customHeight="1" x14ac:dyDescent="0.25">
      <c r="A112" s="691" t="s">
        <v>582</v>
      </c>
      <c r="B112" s="692"/>
      <c r="C112" s="469">
        <v>4</v>
      </c>
      <c r="D112" s="470"/>
      <c r="E112" s="469">
        <v>4</v>
      </c>
      <c r="F112" s="470"/>
      <c r="G112" s="441">
        <v>5</v>
      </c>
      <c r="H112" s="451" t="s">
        <v>450</v>
      </c>
      <c r="I112" s="451" t="s">
        <v>450</v>
      </c>
      <c r="J112" s="451" t="s">
        <v>517</v>
      </c>
      <c r="K112" s="451" t="s">
        <v>450</v>
      </c>
      <c r="L112" s="451" t="s">
        <v>517</v>
      </c>
      <c r="M112" s="451" t="s">
        <v>517</v>
      </c>
      <c r="N112" s="36"/>
      <c r="O112" s="542" t="s">
        <v>248</v>
      </c>
      <c r="P112" s="542"/>
      <c r="Q112" s="101"/>
      <c r="R112" s="207"/>
      <c r="S112" s="207"/>
      <c r="T112" s="206"/>
      <c r="U112" s="208"/>
      <c r="V112" s="206"/>
      <c r="W112" s="208"/>
      <c r="X112" s="206"/>
      <c r="Y112" s="208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</row>
    <row r="113" spans="1:43" ht="18" customHeight="1" x14ac:dyDescent="0.25">
      <c r="A113" s="542" t="s">
        <v>1708</v>
      </c>
      <c r="B113" s="542"/>
      <c r="C113" s="707" t="s">
        <v>459</v>
      </c>
      <c r="D113" s="470"/>
      <c r="E113" s="707" t="s">
        <v>459</v>
      </c>
      <c r="F113" s="470"/>
      <c r="G113" s="450" t="s">
        <v>459</v>
      </c>
      <c r="H113" s="441" t="s">
        <v>53</v>
      </c>
      <c r="I113" s="441" t="s">
        <v>53</v>
      </c>
      <c r="J113" s="441" t="s">
        <v>53</v>
      </c>
      <c r="K113" s="441" t="s">
        <v>53</v>
      </c>
      <c r="L113" s="441">
        <v>-2</v>
      </c>
      <c r="M113" s="441" t="s">
        <v>53</v>
      </c>
      <c r="N113" s="36"/>
      <c r="O113" s="542" t="s">
        <v>247</v>
      </c>
      <c r="P113" s="542"/>
      <c r="Q113" s="198" t="str">
        <f>IF(AND(SUM(Skills!$G$19+Skills!$H$19)&gt;=3,General!$Y$7="Sentinel"),"Yes","No")</f>
        <v>No</v>
      </c>
      <c r="R113" s="198" t="str">
        <f>IF(AND(SUM(Skills!$G$19+Skills!$H$19)&gt;=5,General!$Y$7="Sentinel"),"Yes","No")</f>
        <v>No</v>
      </c>
      <c r="S113" s="198" t="str">
        <f>IF(AND(SUM(Skills!$G$19+Skills!$H$19)&gt;=7,General!$Y$7="Sentinel"),"Yes","No")</f>
        <v>No</v>
      </c>
      <c r="T113" s="198" t="str">
        <f>IF(AND(SUM(Skills!$G$19+Skills!$H$19)&gt;=9,General!$Y$7="Sentinel"),"Yes","No")</f>
        <v>No</v>
      </c>
      <c r="U113" s="198" t="str">
        <f>IF(AND(SUM(Skills!$G$19+Skills!$H$19)&gt;=9,General!$Y$7="Sentinel"),"Yes","No")</f>
        <v>No</v>
      </c>
      <c r="V113" s="198" t="str">
        <f>IF(AND(SUM(Skills!$G$19+Skills!$H$19)&gt;=11,General!$Y$7="Sentinel"),"Yes","No")</f>
        <v>No</v>
      </c>
      <c r="W113" s="198" t="str">
        <f>IF(AND(SUM(Skills!$G$19+Skills!$H$19)&gt;=11,General!$Y$7="Sentinel"),"Yes","No")</f>
        <v>No</v>
      </c>
      <c r="X113" s="198" t="str">
        <f>IF(AND(SUM(Skills!$G$19+Skills!$H$19)&gt;=13,General!$Y$7="Sentinel"),"Yes","No")</f>
        <v>No</v>
      </c>
      <c r="Y113" s="198" t="str">
        <f>IF(AND(SUM(Skills!$G$19+Skills!$H$19)&gt;=13,General!$Y$7="Sentinel"),"Yes","No")</f>
        <v>No</v>
      </c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</row>
    <row r="114" spans="1:43" ht="18" customHeight="1" x14ac:dyDescent="0.25">
      <c r="A114" s="726" t="s">
        <v>1709</v>
      </c>
      <c r="B114" s="727"/>
      <c r="C114" s="730" t="s">
        <v>459</v>
      </c>
      <c r="D114" s="731"/>
      <c r="E114" s="730" t="s">
        <v>459</v>
      </c>
      <c r="F114" s="731"/>
      <c r="G114" s="724" t="s">
        <v>459</v>
      </c>
      <c r="H114" s="722" t="s">
        <v>53</v>
      </c>
      <c r="I114" s="722" t="s">
        <v>53</v>
      </c>
      <c r="J114" s="722" t="s">
        <v>53</v>
      </c>
      <c r="K114" s="724" t="s">
        <v>535</v>
      </c>
      <c r="L114" s="722" t="s">
        <v>53</v>
      </c>
      <c r="M114" s="722" t="s">
        <v>53</v>
      </c>
      <c r="N114" s="36"/>
      <c r="O114" s="691" t="s">
        <v>784</v>
      </c>
      <c r="P114" s="692"/>
      <c r="Q114" s="209">
        <v>2</v>
      </c>
      <c r="R114" s="209">
        <v>2</v>
      </c>
      <c r="S114" s="209">
        <v>3</v>
      </c>
      <c r="T114" s="155" t="s">
        <v>450</v>
      </c>
      <c r="U114" s="155" t="s">
        <v>450</v>
      </c>
      <c r="V114" s="198" t="s">
        <v>53</v>
      </c>
      <c r="W114" s="198" t="s">
        <v>53</v>
      </c>
      <c r="X114" s="155" t="s">
        <v>450</v>
      </c>
      <c r="Y114" s="155" t="s">
        <v>450</v>
      </c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</row>
    <row r="115" spans="1:43" ht="18" customHeight="1" x14ac:dyDescent="0.25">
      <c r="A115" s="728"/>
      <c r="B115" s="729"/>
      <c r="C115" s="732"/>
      <c r="D115" s="733"/>
      <c r="E115" s="732"/>
      <c r="F115" s="733"/>
      <c r="G115" s="725"/>
      <c r="H115" s="723"/>
      <c r="I115" s="723"/>
      <c r="J115" s="723"/>
      <c r="K115" s="725"/>
      <c r="L115" s="723"/>
      <c r="M115" s="723"/>
      <c r="N115" s="36"/>
      <c r="O115" s="691" t="s">
        <v>474</v>
      </c>
      <c r="P115" s="692"/>
      <c r="Q115" s="209">
        <f>10+ROUNDDOWN(SUM(Skills!$G$19+Skills!$H$19)/2,0)+General!$N$12</f>
        <v>5</v>
      </c>
      <c r="R115" s="209">
        <f>10+ROUNDDOWN(SUM(Skills!$G$19+Skills!$H$19)/2,0)+General!$N$12</f>
        <v>5</v>
      </c>
      <c r="S115" s="209">
        <f>10+ROUNDDOWN(SUM(Skills!$G$19+Skills!$H$19)/2,0)+General!$N$12</f>
        <v>5</v>
      </c>
      <c r="T115" s="209">
        <f>10+ROUNDDOWN(SUM(Skills!$G$19+Skills!$H$19)/2,0)+General!$N$12</f>
        <v>5</v>
      </c>
      <c r="U115" s="209">
        <f>10+ROUNDDOWN(SUM(Skills!$G$19+Skills!$H$19)/2,0)+General!$N$12</f>
        <v>5</v>
      </c>
      <c r="V115" s="209">
        <f>10+ROUNDDOWN(SUM(Skills!$G$19+Skills!$H$19)/2,0)+General!$N$12</f>
        <v>5</v>
      </c>
      <c r="W115" s="209">
        <f>10+ROUNDDOWN(SUM(Skills!$G$19+Skills!$H$19)/2,0)+General!$N$12</f>
        <v>5</v>
      </c>
      <c r="X115" s="209">
        <f>10+ROUNDDOWN(SUM(Skills!$G$19+Skills!$H$19)/2,0)+General!$N$12</f>
        <v>5</v>
      </c>
      <c r="Y115" s="198">
        <f>10+ROUNDDOWN(SUM(Skills!$G$19+Skills!$H$19)/2,0)+General!$N$12</f>
        <v>5</v>
      </c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</row>
    <row r="116" spans="1:43" ht="18" customHeight="1" x14ac:dyDescent="0.25">
      <c r="A116" s="693" t="s">
        <v>471</v>
      </c>
      <c r="B116" s="694"/>
      <c r="C116" s="469">
        <v>10</v>
      </c>
      <c r="D116" s="470"/>
      <c r="E116" s="536">
        <v>10</v>
      </c>
      <c r="F116" s="538"/>
      <c r="G116" s="445">
        <v>15</v>
      </c>
      <c r="H116" s="441" t="s">
        <v>53</v>
      </c>
      <c r="I116" s="452" t="s">
        <v>547</v>
      </c>
      <c r="J116" s="452" t="s">
        <v>642</v>
      </c>
      <c r="K116" s="441" t="s">
        <v>53</v>
      </c>
      <c r="L116" s="441" t="s">
        <v>53</v>
      </c>
      <c r="M116" s="441" t="s">
        <v>53</v>
      </c>
      <c r="N116" s="36"/>
      <c r="O116" s="542" t="s">
        <v>749</v>
      </c>
      <c r="P116" s="542"/>
      <c r="Q116" s="209">
        <v>30</v>
      </c>
      <c r="R116" s="209">
        <v>30</v>
      </c>
      <c r="S116" s="209">
        <v>30</v>
      </c>
      <c r="T116" s="198" t="s">
        <v>53</v>
      </c>
      <c r="U116" s="155" t="s">
        <v>547</v>
      </c>
      <c r="V116" s="155" t="s">
        <v>547</v>
      </c>
      <c r="W116" s="198" t="s">
        <v>53</v>
      </c>
      <c r="X116" s="198" t="s">
        <v>53</v>
      </c>
      <c r="Y116" s="198" t="s">
        <v>53</v>
      </c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</row>
    <row r="117" spans="1:43" ht="18" customHeight="1" x14ac:dyDescent="0.25">
      <c r="A117" s="693" t="s">
        <v>249</v>
      </c>
      <c r="B117" s="694"/>
      <c r="C117" s="469">
        <v>7</v>
      </c>
      <c r="D117" s="470"/>
      <c r="E117" s="536">
        <v>7</v>
      </c>
      <c r="F117" s="538"/>
      <c r="G117" s="445">
        <v>7</v>
      </c>
      <c r="H117" s="441" t="s">
        <v>53</v>
      </c>
      <c r="I117" s="452" t="s">
        <v>450</v>
      </c>
      <c r="J117" s="452" t="s">
        <v>450</v>
      </c>
      <c r="K117" s="441" t="s">
        <v>53</v>
      </c>
      <c r="L117" s="441" t="s">
        <v>53</v>
      </c>
      <c r="M117" s="441" t="s">
        <v>53</v>
      </c>
      <c r="N117" s="36"/>
      <c r="O117" s="691" t="s">
        <v>750</v>
      </c>
      <c r="P117" s="692"/>
      <c r="Q117" s="198">
        <v>1</v>
      </c>
      <c r="R117" s="209">
        <v>1</v>
      </c>
      <c r="S117" s="209">
        <v>1</v>
      </c>
      <c r="T117" s="198" t="s">
        <v>53</v>
      </c>
      <c r="U117" s="198" t="s">
        <v>53</v>
      </c>
      <c r="V117" s="198" t="s">
        <v>53</v>
      </c>
      <c r="W117" s="198" t="s">
        <v>53</v>
      </c>
      <c r="X117" s="198" t="s">
        <v>53</v>
      </c>
      <c r="Y117" s="155" t="s">
        <v>450</v>
      </c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</row>
    <row r="118" spans="1:43" ht="18" customHeight="1" x14ac:dyDescent="0.25">
      <c r="A118" s="693" t="s">
        <v>1710</v>
      </c>
      <c r="B118" s="694"/>
      <c r="C118" s="469" t="s">
        <v>53</v>
      </c>
      <c r="D118" s="470"/>
      <c r="E118" s="536" t="s">
        <v>53</v>
      </c>
      <c r="F118" s="538"/>
      <c r="G118" s="441" t="s">
        <v>53</v>
      </c>
      <c r="H118" s="441" t="s">
        <v>53</v>
      </c>
      <c r="I118" s="441" t="s">
        <v>53</v>
      </c>
      <c r="J118" s="441" t="s">
        <v>53</v>
      </c>
      <c r="K118" s="451" t="s">
        <v>535</v>
      </c>
      <c r="L118" s="441" t="s">
        <v>53</v>
      </c>
      <c r="M118" s="441" t="s">
        <v>53</v>
      </c>
      <c r="N118" s="36"/>
      <c r="O118" s="691" t="s">
        <v>751</v>
      </c>
      <c r="P118" s="692"/>
      <c r="Q118" s="198">
        <v>2</v>
      </c>
      <c r="R118" s="198">
        <v>2</v>
      </c>
      <c r="S118" s="198">
        <v>2</v>
      </c>
      <c r="T118" s="198" t="s">
        <v>53</v>
      </c>
      <c r="U118" s="198" t="s">
        <v>53</v>
      </c>
      <c r="V118" s="198" t="s">
        <v>53</v>
      </c>
      <c r="W118" s="198" t="s">
        <v>53</v>
      </c>
      <c r="X118" s="155" t="s">
        <v>459</v>
      </c>
      <c r="Y118" s="198" t="s">
        <v>53</v>
      </c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</row>
    <row r="119" spans="1:43" ht="18" customHeight="1" x14ac:dyDescent="0.25">
      <c r="A119" s="693" t="s">
        <v>1711</v>
      </c>
      <c r="B119" s="694"/>
      <c r="C119" s="469" t="s">
        <v>53</v>
      </c>
      <c r="D119" s="470"/>
      <c r="E119" s="536" t="s">
        <v>53</v>
      </c>
      <c r="F119" s="538"/>
      <c r="G119" s="441" t="s">
        <v>53</v>
      </c>
      <c r="H119" s="441" t="s">
        <v>53</v>
      </c>
      <c r="I119" s="441" t="s">
        <v>53</v>
      </c>
      <c r="J119" s="441" t="s">
        <v>53</v>
      </c>
      <c r="K119" s="441" t="s">
        <v>53</v>
      </c>
      <c r="L119" s="441" t="s">
        <v>53</v>
      </c>
      <c r="M119" s="451" t="s">
        <v>459</v>
      </c>
      <c r="N119" s="36"/>
      <c r="O119" s="691" t="s">
        <v>752</v>
      </c>
      <c r="P119" s="692"/>
      <c r="Q119" s="209">
        <v>10</v>
      </c>
      <c r="R119" s="209">
        <v>10</v>
      </c>
      <c r="S119" s="209">
        <v>15</v>
      </c>
      <c r="T119" s="210" t="s">
        <v>482</v>
      </c>
      <c r="U119" s="198" t="s">
        <v>53</v>
      </c>
      <c r="V119" s="198" t="s">
        <v>53</v>
      </c>
      <c r="W119" s="198" t="s">
        <v>53</v>
      </c>
      <c r="X119" s="198" t="s">
        <v>53</v>
      </c>
      <c r="Y119" s="198" t="s">
        <v>53</v>
      </c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</row>
    <row r="120" spans="1:43" ht="18" customHeight="1" x14ac:dyDescent="0.25">
      <c r="A120" s="691" t="s">
        <v>449</v>
      </c>
      <c r="B120" s="692"/>
      <c r="C120" s="469">
        <v>8</v>
      </c>
      <c r="D120" s="470"/>
      <c r="E120" s="469">
        <v>7</v>
      </c>
      <c r="F120" s="470"/>
      <c r="G120" s="442">
        <v>7</v>
      </c>
      <c r="H120" s="441">
        <v>5</v>
      </c>
      <c r="I120" s="441" t="s">
        <v>53</v>
      </c>
      <c r="J120" s="441" t="s">
        <v>53</v>
      </c>
      <c r="K120" s="441" t="s">
        <v>53</v>
      </c>
      <c r="L120" s="441" t="s">
        <v>53</v>
      </c>
      <c r="M120" s="441" t="s">
        <v>53</v>
      </c>
      <c r="N120" s="36"/>
      <c r="O120" s="691" t="s">
        <v>753</v>
      </c>
      <c r="P120" s="692"/>
      <c r="Q120" s="209" t="s">
        <v>510</v>
      </c>
      <c r="R120" s="209" t="s">
        <v>510</v>
      </c>
      <c r="S120" s="209" t="s">
        <v>475</v>
      </c>
      <c r="T120" s="155" t="s">
        <v>470</v>
      </c>
      <c r="U120" s="198" t="s">
        <v>53</v>
      </c>
      <c r="V120" s="198" t="s">
        <v>53</v>
      </c>
      <c r="W120" s="198" t="s">
        <v>451</v>
      </c>
      <c r="X120" s="198" t="s">
        <v>53</v>
      </c>
      <c r="Y120" s="198" t="s">
        <v>53</v>
      </c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</row>
    <row r="121" spans="1:43" ht="18" customHeight="1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691" t="s">
        <v>449</v>
      </c>
      <c r="P121" s="692"/>
      <c r="Q121" s="209">
        <v>3</v>
      </c>
      <c r="R121" s="209">
        <v>2</v>
      </c>
      <c r="S121" s="209">
        <v>2</v>
      </c>
      <c r="T121" s="198" t="s">
        <v>53</v>
      </c>
      <c r="U121" s="198" t="s">
        <v>53</v>
      </c>
      <c r="V121" s="198" t="s">
        <v>53</v>
      </c>
      <c r="W121" s="198" t="s">
        <v>53</v>
      </c>
      <c r="X121" s="198" t="s">
        <v>53</v>
      </c>
      <c r="Y121" s="198" t="s">
        <v>53</v>
      </c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</row>
    <row r="122" spans="1:43" ht="18" customHeight="1" x14ac:dyDescent="0.25">
      <c r="A122" s="695" t="s">
        <v>709</v>
      </c>
      <c r="B122" s="696"/>
      <c r="C122" s="710" t="s">
        <v>437</v>
      </c>
      <c r="D122" s="711"/>
      <c r="E122" s="710" t="s">
        <v>439</v>
      </c>
      <c r="F122" s="711"/>
      <c r="G122" s="701" t="s">
        <v>438</v>
      </c>
      <c r="H122" s="691" t="s">
        <v>440</v>
      </c>
      <c r="I122" s="692"/>
      <c r="J122" s="691" t="s">
        <v>441</v>
      </c>
      <c r="K122" s="692"/>
      <c r="L122" s="691" t="s">
        <v>442</v>
      </c>
      <c r="M122" s="692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</row>
    <row r="123" spans="1:43" ht="18" customHeight="1" x14ac:dyDescent="0.25">
      <c r="A123" s="697"/>
      <c r="B123" s="698"/>
      <c r="C123" s="712"/>
      <c r="D123" s="713"/>
      <c r="E123" s="712"/>
      <c r="F123" s="713"/>
      <c r="G123" s="703"/>
      <c r="H123" s="154" t="s">
        <v>446</v>
      </c>
      <c r="I123" s="152" t="s">
        <v>466</v>
      </c>
      <c r="J123" s="154" t="s">
        <v>710</v>
      </c>
      <c r="K123" s="152" t="s">
        <v>453</v>
      </c>
      <c r="L123" s="154" t="s">
        <v>634</v>
      </c>
      <c r="M123" s="152" t="s">
        <v>711</v>
      </c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</row>
    <row r="124" spans="1:43" ht="18" customHeight="1" x14ac:dyDescent="0.25">
      <c r="A124" s="542" t="s">
        <v>248</v>
      </c>
      <c r="B124" s="542"/>
      <c r="C124" s="708"/>
      <c r="D124" s="709"/>
      <c r="E124" s="708"/>
      <c r="F124" s="709"/>
      <c r="G124" s="296"/>
      <c r="H124" s="291"/>
      <c r="I124" s="297"/>
      <c r="J124" s="291"/>
      <c r="K124" s="297"/>
      <c r="L124" s="291"/>
      <c r="M124" s="297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</row>
    <row r="125" spans="1:43" ht="18" customHeight="1" x14ac:dyDescent="0.25">
      <c r="A125" s="542" t="s">
        <v>247</v>
      </c>
      <c r="B125" s="542"/>
      <c r="C125" s="469" t="str">
        <f>IF(AND(SUM(Skills!$G$44+Skills!$H$44)&gt;=5,SUM(Skills!$G$31+Skills!$H$31)&gt;=5),"Yes","No")</f>
        <v>No</v>
      </c>
      <c r="D125" s="470"/>
      <c r="E125" s="469" t="str">
        <f>IF(AND(SUM(Skills!$G$44+Skills!$H$44)&gt;=7,SUM(Skills!$G$31+Skills!$H$31)&gt;=7),"Yes","No")</f>
        <v>No</v>
      </c>
      <c r="F125" s="470"/>
      <c r="G125" s="290" t="str">
        <f>IF(AND(SUM(Skills!$G$44+Skills!$H$44)&gt;=9,SUM(Skills!$G$31+Skills!$H$31)&gt;=9),"Yes","No")</f>
        <v>No</v>
      </c>
      <c r="H125" s="290" t="str">
        <f>IF(AND(SUM(Skills!$G$44+Skills!$H$44)&gt;=11,SUM(Skills!$G$31+Skills!$H$31)&gt;=11),"Yes","No")</f>
        <v>No</v>
      </c>
      <c r="I125" s="290" t="str">
        <f>IF(AND(SUM(Skills!$G$44+Skills!$H$44)&gt;=11,SUM(Skills!$G$31+Skills!$H$31)&gt;=11),"Yes","No")</f>
        <v>No</v>
      </c>
      <c r="J125" s="290" t="str">
        <f>IF(AND(SUM(Skills!$G$44+Skills!$H$44)&gt;=13,SUM(Skills!$G$31+Skills!$H$31)&gt;=13),"Yes","No")</f>
        <v>No</v>
      </c>
      <c r="K125" s="290" t="str">
        <f>IF(AND(SUM(Skills!$G$44+Skills!$H$44)&gt;=13,SUM(Skills!$G$31+Skills!$H$31)&gt;=13),"Yes","No")</f>
        <v>No</v>
      </c>
      <c r="L125" s="290" t="str">
        <f>IF(AND(SUM(Skills!$G$44+Skills!$H$44)&gt;=15,SUM(Skills!$G$31+Skills!$H$31)&gt;=15),"Yes","No")</f>
        <v>No</v>
      </c>
      <c r="M125" s="290" t="str">
        <f>IF(AND(SUM(Skills!$G$44+Skills!$H$44)&gt;=15,SUM(Skills!$G$31+Skills!$H$31)&gt;=15),"Yes","No")</f>
        <v>No</v>
      </c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</row>
    <row r="126" spans="1:43" ht="18" customHeight="1" x14ac:dyDescent="0.25">
      <c r="A126" s="691" t="s">
        <v>582</v>
      </c>
      <c r="B126" s="692"/>
      <c r="C126" s="469">
        <v>2</v>
      </c>
      <c r="D126" s="470"/>
      <c r="E126" s="469">
        <v>2</v>
      </c>
      <c r="F126" s="470"/>
      <c r="G126" s="290">
        <v>3</v>
      </c>
      <c r="H126" s="299" t="s">
        <v>450</v>
      </c>
      <c r="I126" s="299" t="s">
        <v>450</v>
      </c>
      <c r="J126" s="299" t="s">
        <v>450</v>
      </c>
      <c r="K126" s="299" t="s">
        <v>450</v>
      </c>
      <c r="L126" s="299" t="s">
        <v>450</v>
      </c>
      <c r="M126" s="299" t="s">
        <v>450</v>
      </c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</row>
    <row r="127" spans="1:43" ht="18" customHeight="1" x14ac:dyDescent="0.25">
      <c r="A127" s="691" t="s">
        <v>681</v>
      </c>
      <c r="B127" s="692"/>
      <c r="C127" s="469">
        <v>5</v>
      </c>
      <c r="D127" s="470"/>
      <c r="E127" s="469">
        <v>5</v>
      </c>
      <c r="F127" s="470"/>
      <c r="G127" s="294">
        <f>10+ROUNDDOWN((Skills!$G$44+Skills!$H$44)/2,0)+General!$N$12</f>
        <v>5</v>
      </c>
      <c r="H127" s="294">
        <f>10+ROUNDDOWN((Skills!$G$44+Skills!$H$44)/2,0)+General!$N$12</f>
        <v>5</v>
      </c>
      <c r="I127" s="294">
        <f>10+ROUNDDOWN((Skills!$G$44+Skills!$H$44)/2,0)+General!$N$12</f>
        <v>5</v>
      </c>
      <c r="J127" s="294">
        <f>10+ROUNDDOWN((Skills!$G$44+Skills!$H$44)/2,0)+General!$N$12</f>
        <v>5</v>
      </c>
      <c r="K127" s="294">
        <f>10+ROUNDDOWN((Skills!$G$44+Skills!$H$44)/2,0)+General!$N$12</f>
        <v>5</v>
      </c>
      <c r="L127" s="294">
        <f>10+ROUNDDOWN((Skills!$G$44+Skills!$H$44)/2,0)+General!$N$12</f>
        <v>5</v>
      </c>
      <c r="M127" s="290">
        <f>10+ROUNDDOWN((Skills!$G$44+Skills!$H$44)/2,0)+General!$N$12</f>
        <v>5</v>
      </c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</row>
    <row r="128" spans="1:43" x14ac:dyDescent="0.25">
      <c r="A128" s="691" t="s">
        <v>249</v>
      </c>
      <c r="B128" s="692"/>
      <c r="C128" s="536">
        <v>1</v>
      </c>
      <c r="D128" s="538"/>
      <c r="E128" s="536">
        <v>1</v>
      </c>
      <c r="F128" s="538"/>
      <c r="G128" s="294">
        <v>2</v>
      </c>
      <c r="H128" s="298" t="s">
        <v>450</v>
      </c>
      <c r="I128" s="290" t="s">
        <v>53</v>
      </c>
      <c r="J128" s="290" t="s">
        <v>53</v>
      </c>
      <c r="K128" s="290" t="s">
        <v>53</v>
      </c>
      <c r="L128" s="298" t="s">
        <v>450</v>
      </c>
      <c r="M128" s="290" t="s">
        <v>53</v>
      </c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</row>
    <row r="129" spans="1:43" x14ac:dyDescent="0.25">
      <c r="A129" s="691" t="s">
        <v>449</v>
      </c>
      <c r="B129" s="692"/>
      <c r="C129" s="469">
        <v>4</v>
      </c>
      <c r="D129" s="470"/>
      <c r="E129" s="469">
        <v>3</v>
      </c>
      <c r="F129" s="470"/>
      <c r="G129" s="294">
        <v>3</v>
      </c>
      <c r="H129" s="290" t="s">
        <v>53</v>
      </c>
      <c r="I129" s="290" t="s">
        <v>53</v>
      </c>
      <c r="J129" s="290" t="s">
        <v>53</v>
      </c>
      <c r="K129" s="299" t="s">
        <v>459</v>
      </c>
      <c r="L129" s="290" t="s">
        <v>53</v>
      </c>
      <c r="M129" s="290" t="s">
        <v>53</v>
      </c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</row>
    <row r="130" spans="1:43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</row>
    <row r="131" spans="1:43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</row>
    <row r="132" spans="1:43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</row>
    <row r="133" spans="1:43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</row>
    <row r="134" spans="1:43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</row>
    <row r="135" spans="1:43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</row>
    <row r="136" spans="1:43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</row>
    <row r="137" spans="1:43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</row>
    <row r="138" spans="1:43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</row>
    <row r="139" spans="1:43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</row>
    <row r="140" spans="1:43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</row>
    <row r="141" spans="1:43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</row>
    <row r="142" spans="1:43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</row>
    <row r="143" spans="1:43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</row>
    <row r="144" spans="1:43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</row>
    <row r="145" spans="1:43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</row>
    <row r="146" spans="1:43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</row>
    <row r="147" spans="1:43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</row>
    <row r="148" spans="1:43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</row>
    <row r="149" spans="1:43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</row>
    <row r="150" spans="1:43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</row>
    <row r="151" spans="1:43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</row>
    <row r="152" spans="1:43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</row>
    <row r="153" spans="1:43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</row>
    <row r="154" spans="1:43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</row>
    <row r="155" spans="1:43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</row>
    <row r="156" spans="1:43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</row>
    <row r="157" spans="1:43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</row>
    <row r="158" spans="1:43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</row>
    <row r="159" spans="1:43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</row>
    <row r="160" spans="1:43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</row>
    <row r="161" spans="1:43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</row>
    <row r="162" spans="1:43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</row>
    <row r="163" spans="1:43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</row>
    <row r="164" spans="1:43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</row>
    <row r="165" spans="1:43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</row>
    <row r="166" spans="1:43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</row>
    <row r="167" spans="1:43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</row>
    <row r="168" spans="1:43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</row>
    <row r="169" spans="1:43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</row>
    <row r="170" spans="1:43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</row>
    <row r="171" spans="1:43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</row>
    <row r="172" spans="1:43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</row>
    <row r="173" spans="1:43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</row>
    <row r="174" spans="1:43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</row>
    <row r="175" spans="1:43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</row>
    <row r="176" spans="1:43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</row>
    <row r="177" spans="1:43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</row>
    <row r="178" spans="1:43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</row>
    <row r="179" spans="1:43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</row>
    <row r="180" spans="1:43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</row>
    <row r="181" spans="1:43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</row>
    <row r="182" spans="1:43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</row>
    <row r="183" spans="1:43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</row>
    <row r="184" spans="1:43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</row>
    <row r="185" spans="1:43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</row>
    <row r="186" spans="1:43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</row>
    <row r="187" spans="1:43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</row>
    <row r="188" spans="1:43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</row>
    <row r="189" spans="1:43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</row>
    <row r="190" spans="1:43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</row>
    <row r="191" spans="1:43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</row>
    <row r="192" spans="1:43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</row>
    <row r="193" spans="1:43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</row>
    <row r="194" spans="1:43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</row>
    <row r="195" spans="1:43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</row>
    <row r="196" spans="1:43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</row>
    <row r="197" spans="1:43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</row>
    <row r="198" spans="1:43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</row>
    <row r="199" spans="1:43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</row>
    <row r="200" spans="1:43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</row>
    <row r="201" spans="1:43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</row>
    <row r="202" spans="1:43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</row>
    <row r="203" spans="1:43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</row>
    <row r="204" spans="1:43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</row>
    <row r="205" spans="1:43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</row>
    <row r="206" spans="1:43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</row>
    <row r="207" spans="1:43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</row>
    <row r="208" spans="1:43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</row>
    <row r="209" spans="1:43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</row>
    <row r="210" spans="1:43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</row>
    <row r="211" spans="1:43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</row>
    <row r="212" spans="1:43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</row>
    <row r="213" spans="1:43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</row>
    <row r="214" spans="1:43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</row>
    <row r="215" spans="1:43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</row>
    <row r="216" spans="1:43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</row>
    <row r="217" spans="1:43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</row>
    <row r="218" spans="1:43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</row>
    <row r="219" spans="1:43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</row>
    <row r="220" spans="1:43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</row>
    <row r="221" spans="1:43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</row>
    <row r="222" spans="1:43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</row>
    <row r="223" spans="1:43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</row>
    <row r="224" spans="1:43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</row>
    <row r="225" spans="1:43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</row>
    <row r="226" spans="1:43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</row>
    <row r="227" spans="1:43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</row>
    <row r="228" spans="1:43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</row>
    <row r="229" spans="1:43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</row>
    <row r="230" spans="1:43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</row>
    <row r="231" spans="1:43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</row>
    <row r="232" spans="1:43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</row>
    <row r="233" spans="1:43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</row>
    <row r="234" spans="1:43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</row>
    <row r="235" spans="1:43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</row>
    <row r="236" spans="1:43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</row>
    <row r="237" spans="1:43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</row>
    <row r="238" spans="1:43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</row>
    <row r="239" spans="1:43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</row>
    <row r="240" spans="1:43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</row>
    <row r="241" spans="1:43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</row>
    <row r="242" spans="1:43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</row>
    <row r="243" spans="1:43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</row>
    <row r="244" spans="1:43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</row>
    <row r="245" spans="1:43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</row>
    <row r="246" spans="1:43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</row>
    <row r="247" spans="1:43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</row>
    <row r="248" spans="1:43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</row>
    <row r="249" spans="1:43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</row>
    <row r="250" spans="1:43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</row>
    <row r="251" spans="1:43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</row>
    <row r="252" spans="1:43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</row>
    <row r="253" spans="1:43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</row>
    <row r="254" spans="1:43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</row>
    <row r="255" spans="1:43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</row>
    <row r="256" spans="1:43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</row>
    <row r="257" spans="1:43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</row>
    <row r="258" spans="1:43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</row>
    <row r="259" spans="1:43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</row>
    <row r="260" spans="1:43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</row>
    <row r="261" spans="1:43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</row>
    <row r="262" spans="1:43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</row>
  </sheetData>
  <mergeCells count="528">
    <mergeCell ref="T98:U98"/>
    <mergeCell ref="V98:W98"/>
    <mergeCell ref="X98:Y98"/>
    <mergeCell ref="O100:P100"/>
    <mergeCell ref="O101:P101"/>
    <mergeCell ref="O102:P102"/>
    <mergeCell ref="O103:P103"/>
    <mergeCell ref="Q98:Q99"/>
    <mergeCell ref="O106:P106"/>
    <mergeCell ref="O107:P107"/>
    <mergeCell ref="O108:P108"/>
    <mergeCell ref="J114:J115"/>
    <mergeCell ref="K114:K115"/>
    <mergeCell ref="L114:L115"/>
    <mergeCell ref="M114:M115"/>
    <mergeCell ref="R98:R99"/>
    <mergeCell ref="S98:S99"/>
    <mergeCell ref="A120:B120"/>
    <mergeCell ref="C120:D120"/>
    <mergeCell ref="E120:F120"/>
    <mergeCell ref="A114:B115"/>
    <mergeCell ref="C114:D115"/>
    <mergeCell ref="E114:F115"/>
    <mergeCell ref="G114:G115"/>
    <mergeCell ref="H114:H115"/>
    <mergeCell ref="I114:I115"/>
    <mergeCell ref="A116:B116"/>
    <mergeCell ref="C116:D116"/>
    <mergeCell ref="E116:F116"/>
    <mergeCell ref="A117:B117"/>
    <mergeCell ref="C117:D117"/>
    <mergeCell ref="E117:F117"/>
    <mergeCell ref="A118:B118"/>
    <mergeCell ref="C118:D118"/>
    <mergeCell ref="E118:F118"/>
    <mergeCell ref="A119:B119"/>
    <mergeCell ref="C119:D119"/>
    <mergeCell ref="E119:F119"/>
    <mergeCell ref="C113:D113"/>
    <mergeCell ref="E113:F113"/>
    <mergeCell ref="A108:B109"/>
    <mergeCell ref="C108:D109"/>
    <mergeCell ref="E108:F109"/>
    <mergeCell ref="A112:B112"/>
    <mergeCell ref="C112:D112"/>
    <mergeCell ref="E112:F112"/>
    <mergeCell ref="A113:B113"/>
    <mergeCell ref="G108:G109"/>
    <mergeCell ref="H108:I108"/>
    <mergeCell ref="J108:K108"/>
    <mergeCell ref="L108:M108"/>
    <mergeCell ref="A110:B110"/>
    <mergeCell ref="C110:D110"/>
    <mergeCell ref="E110:F110"/>
    <mergeCell ref="A111:B111"/>
    <mergeCell ref="C111:D111"/>
    <mergeCell ref="E111:F111"/>
    <mergeCell ref="A90:B90"/>
    <mergeCell ref="C90:D90"/>
    <mergeCell ref="E90:F90"/>
    <mergeCell ref="A91:B91"/>
    <mergeCell ref="C91:D91"/>
    <mergeCell ref="E91:F91"/>
    <mergeCell ref="A92:B92"/>
    <mergeCell ref="C92:D92"/>
    <mergeCell ref="E92:F92"/>
    <mergeCell ref="E86:F86"/>
    <mergeCell ref="A87:B87"/>
    <mergeCell ref="C87:D87"/>
    <mergeCell ref="E87:F87"/>
    <mergeCell ref="A88:B88"/>
    <mergeCell ref="C88:D88"/>
    <mergeCell ref="E88:F88"/>
    <mergeCell ref="A89:B89"/>
    <mergeCell ref="C89:D89"/>
    <mergeCell ref="E89:F89"/>
    <mergeCell ref="A83:B83"/>
    <mergeCell ref="C83:D83"/>
    <mergeCell ref="E83:F83"/>
    <mergeCell ref="A84:B84"/>
    <mergeCell ref="C84:D84"/>
    <mergeCell ref="E84:F84"/>
    <mergeCell ref="A85:B85"/>
    <mergeCell ref="C85:D85"/>
    <mergeCell ref="E85:F85"/>
    <mergeCell ref="A80:B81"/>
    <mergeCell ref="C80:D81"/>
    <mergeCell ref="E80:F81"/>
    <mergeCell ref="G80:G81"/>
    <mergeCell ref="H80:I80"/>
    <mergeCell ref="J80:K80"/>
    <mergeCell ref="L80:M80"/>
    <mergeCell ref="A82:B82"/>
    <mergeCell ref="C82:D82"/>
    <mergeCell ref="E82:F82"/>
    <mergeCell ref="Q37:Q38"/>
    <mergeCell ref="R37:R38"/>
    <mergeCell ref="S37:S38"/>
    <mergeCell ref="T37:U37"/>
    <mergeCell ref="O46:P46"/>
    <mergeCell ref="O47:P47"/>
    <mergeCell ref="V37:W37"/>
    <mergeCell ref="X37:Y37"/>
    <mergeCell ref="O39:P39"/>
    <mergeCell ref="O40:P40"/>
    <mergeCell ref="O41:P41"/>
    <mergeCell ref="O42:P42"/>
    <mergeCell ref="O43:P43"/>
    <mergeCell ref="O44:P44"/>
    <mergeCell ref="O45:P45"/>
    <mergeCell ref="Q28:Q29"/>
    <mergeCell ref="R28:R29"/>
    <mergeCell ref="S28:S29"/>
    <mergeCell ref="T28:U28"/>
    <mergeCell ref="V28:W28"/>
    <mergeCell ref="X28:Y28"/>
    <mergeCell ref="O30:P30"/>
    <mergeCell ref="O31:P31"/>
    <mergeCell ref="O32:P32"/>
    <mergeCell ref="A46:B46"/>
    <mergeCell ref="C46:D46"/>
    <mergeCell ref="E46:F46"/>
    <mergeCell ref="O6:P7"/>
    <mergeCell ref="Q6:Q7"/>
    <mergeCell ref="R6:R7"/>
    <mergeCell ref="S6:S7"/>
    <mergeCell ref="T6:U6"/>
    <mergeCell ref="O8:P8"/>
    <mergeCell ref="O9:P9"/>
    <mergeCell ref="O10:P10"/>
    <mergeCell ref="O11:P11"/>
    <mergeCell ref="O12:P12"/>
    <mergeCell ref="O13:P13"/>
    <mergeCell ref="O14:P14"/>
    <mergeCell ref="O15:P15"/>
    <mergeCell ref="O17:P18"/>
    <mergeCell ref="Q17:Q18"/>
    <mergeCell ref="R17:R18"/>
    <mergeCell ref="S17:S18"/>
    <mergeCell ref="T17:U17"/>
    <mergeCell ref="O19:P19"/>
    <mergeCell ref="O20:P20"/>
    <mergeCell ref="A43:B43"/>
    <mergeCell ref="O26:P26"/>
    <mergeCell ref="C43:D43"/>
    <mergeCell ref="E43:F43"/>
    <mergeCell ref="A44:B44"/>
    <mergeCell ref="C44:D44"/>
    <mergeCell ref="E44:F44"/>
    <mergeCell ref="A45:B45"/>
    <mergeCell ref="C45:D45"/>
    <mergeCell ref="E45:F45"/>
    <mergeCell ref="A40:B40"/>
    <mergeCell ref="C40:D40"/>
    <mergeCell ref="E40:F40"/>
    <mergeCell ref="A41:B41"/>
    <mergeCell ref="C41:D41"/>
    <mergeCell ref="E41:F41"/>
    <mergeCell ref="A42:B42"/>
    <mergeCell ref="C42:D42"/>
    <mergeCell ref="E42:F42"/>
    <mergeCell ref="O28:P29"/>
    <mergeCell ref="O33:P33"/>
    <mergeCell ref="O34:P34"/>
    <mergeCell ref="O35:P35"/>
    <mergeCell ref="O37:P38"/>
    <mergeCell ref="A27:B27"/>
    <mergeCell ref="L6:M6"/>
    <mergeCell ref="A1:Y1"/>
    <mergeCell ref="A3:B3"/>
    <mergeCell ref="A6:B7"/>
    <mergeCell ref="C6:D7"/>
    <mergeCell ref="E6:F7"/>
    <mergeCell ref="G6:G7"/>
    <mergeCell ref="J6:K6"/>
    <mergeCell ref="A37:B38"/>
    <mergeCell ref="C37:D38"/>
    <mergeCell ref="E37:F38"/>
    <mergeCell ref="G37:G38"/>
    <mergeCell ref="H37:I37"/>
    <mergeCell ref="J37:K37"/>
    <mergeCell ref="L37:M37"/>
    <mergeCell ref="V6:W6"/>
    <mergeCell ref="X6:Y6"/>
    <mergeCell ref="V17:W17"/>
    <mergeCell ref="X17:Y17"/>
    <mergeCell ref="O21:P21"/>
    <mergeCell ref="O22:P22"/>
    <mergeCell ref="O23:P23"/>
    <mergeCell ref="O24:P24"/>
    <mergeCell ref="O25:P25"/>
    <mergeCell ref="A9:B9"/>
    <mergeCell ref="C9:D9"/>
    <mergeCell ref="E9:F9"/>
    <mergeCell ref="A10:B10"/>
    <mergeCell ref="C10:D10"/>
    <mergeCell ref="E10:F10"/>
    <mergeCell ref="A8:B8"/>
    <mergeCell ref="C8:D8"/>
    <mergeCell ref="E8:F8"/>
    <mergeCell ref="E15:F16"/>
    <mergeCell ref="A13:B13"/>
    <mergeCell ref="C13:D13"/>
    <mergeCell ref="E13:F13"/>
    <mergeCell ref="H13:I13"/>
    <mergeCell ref="A11:B11"/>
    <mergeCell ref="C11:D11"/>
    <mergeCell ref="E11:F11"/>
    <mergeCell ref="A12:B12"/>
    <mergeCell ref="C12:D12"/>
    <mergeCell ref="E12:F12"/>
    <mergeCell ref="H12:I12"/>
    <mergeCell ref="C27:D27"/>
    <mergeCell ref="E27:F27"/>
    <mergeCell ref="G25:G26"/>
    <mergeCell ref="H25:I25"/>
    <mergeCell ref="A22:B22"/>
    <mergeCell ref="C22:D22"/>
    <mergeCell ref="E22:F22"/>
    <mergeCell ref="A23:B23"/>
    <mergeCell ref="C23:D23"/>
    <mergeCell ref="E23:F23"/>
    <mergeCell ref="A74:B74"/>
    <mergeCell ref="C74:D74"/>
    <mergeCell ref="E74:F74"/>
    <mergeCell ref="A68:B68"/>
    <mergeCell ref="C68:D68"/>
    <mergeCell ref="E68:F68"/>
    <mergeCell ref="A66:B66"/>
    <mergeCell ref="C66:D66"/>
    <mergeCell ref="E66:F66"/>
    <mergeCell ref="A67:B67"/>
    <mergeCell ref="C67:D67"/>
    <mergeCell ref="E67:F67"/>
    <mergeCell ref="A106:B106"/>
    <mergeCell ref="C106:D106"/>
    <mergeCell ref="E106:F106"/>
    <mergeCell ref="A101:B101"/>
    <mergeCell ref="C101:D101"/>
    <mergeCell ref="E101:F101"/>
    <mergeCell ref="A102:B102"/>
    <mergeCell ref="C102:D102"/>
    <mergeCell ref="E102:F102"/>
    <mergeCell ref="A104:B105"/>
    <mergeCell ref="C104:D105"/>
    <mergeCell ref="E104:F105"/>
    <mergeCell ref="J3:O3"/>
    <mergeCell ref="P3:X3"/>
    <mergeCell ref="H6:I7"/>
    <mergeCell ref="H8:I8"/>
    <mergeCell ref="H9:I9"/>
    <mergeCell ref="H10:I10"/>
    <mergeCell ref="H11:I11"/>
    <mergeCell ref="A103:B103"/>
    <mergeCell ref="C103:D103"/>
    <mergeCell ref="E103:F103"/>
    <mergeCell ref="A97:B98"/>
    <mergeCell ref="C97:D98"/>
    <mergeCell ref="A77:B77"/>
    <mergeCell ref="C77:D77"/>
    <mergeCell ref="E77:F77"/>
    <mergeCell ref="A78:B78"/>
    <mergeCell ref="C78:D78"/>
    <mergeCell ref="E78:F78"/>
    <mergeCell ref="A75:B75"/>
    <mergeCell ref="C75:D75"/>
    <mergeCell ref="E75:F75"/>
    <mergeCell ref="A76:B76"/>
    <mergeCell ref="C76:D76"/>
    <mergeCell ref="E76:F76"/>
    <mergeCell ref="A18:B18"/>
    <mergeCell ref="C18:D18"/>
    <mergeCell ref="E18:F18"/>
    <mergeCell ref="A25:B26"/>
    <mergeCell ref="C25:D26"/>
    <mergeCell ref="E25:F26"/>
    <mergeCell ref="G15:G16"/>
    <mergeCell ref="J15:K15"/>
    <mergeCell ref="L15:M15"/>
    <mergeCell ref="A17:B17"/>
    <mergeCell ref="C17:D17"/>
    <mergeCell ref="E17:F17"/>
    <mergeCell ref="A20:B20"/>
    <mergeCell ref="C20:D20"/>
    <mergeCell ref="E20:F20"/>
    <mergeCell ref="A21:B21"/>
    <mergeCell ref="C21:D21"/>
    <mergeCell ref="E21:F21"/>
    <mergeCell ref="A19:B19"/>
    <mergeCell ref="C19:D19"/>
    <mergeCell ref="E19:F19"/>
    <mergeCell ref="H15:I15"/>
    <mergeCell ref="A15:B16"/>
    <mergeCell ref="C15:D16"/>
    <mergeCell ref="G48:G49"/>
    <mergeCell ref="H48:I48"/>
    <mergeCell ref="J25:K25"/>
    <mergeCell ref="L25:M25"/>
    <mergeCell ref="A28:B28"/>
    <mergeCell ref="C28:D28"/>
    <mergeCell ref="E28:F28"/>
    <mergeCell ref="A29:B29"/>
    <mergeCell ref="C29:D29"/>
    <mergeCell ref="E29:F29"/>
    <mergeCell ref="J48:K48"/>
    <mergeCell ref="L48:M48"/>
    <mergeCell ref="A35:B35"/>
    <mergeCell ref="C35:D35"/>
    <mergeCell ref="E35:F35"/>
    <mergeCell ref="A33:B33"/>
    <mergeCell ref="C33:D33"/>
    <mergeCell ref="E33:F33"/>
    <mergeCell ref="A34:B34"/>
    <mergeCell ref="C34:D34"/>
    <mergeCell ref="E34:F34"/>
    <mergeCell ref="A31:B31"/>
    <mergeCell ref="C31:D31"/>
    <mergeCell ref="E31:F31"/>
    <mergeCell ref="A52:B52"/>
    <mergeCell ref="C52:D52"/>
    <mergeCell ref="E52:F52"/>
    <mergeCell ref="A53:B53"/>
    <mergeCell ref="C53:D53"/>
    <mergeCell ref="E53:F53"/>
    <mergeCell ref="A30:B30"/>
    <mergeCell ref="C30:D30"/>
    <mergeCell ref="E30:F30"/>
    <mergeCell ref="A48:B49"/>
    <mergeCell ref="C48:D49"/>
    <mergeCell ref="E48:F49"/>
    <mergeCell ref="A50:B50"/>
    <mergeCell ref="C50:D50"/>
    <mergeCell ref="E50:F50"/>
    <mergeCell ref="A51:B51"/>
    <mergeCell ref="C51:D51"/>
    <mergeCell ref="E51:F51"/>
    <mergeCell ref="A32:B32"/>
    <mergeCell ref="C32:D32"/>
    <mergeCell ref="E32:F32"/>
    <mergeCell ref="A39:B39"/>
    <mergeCell ref="C39:D39"/>
    <mergeCell ref="E39:F39"/>
    <mergeCell ref="G59:G60"/>
    <mergeCell ref="H59:I59"/>
    <mergeCell ref="J59:K59"/>
    <mergeCell ref="L59:M59"/>
    <mergeCell ref="A61:B61"/>
    <mergeCell ref="C61:D61"/>
    <mergeCell ref="E61:F61"/>
    <mergeCell ref="A54:B54"/>
    <mergeCell ref="C54:D54"/>
    <mergeCell ref="E54:F54"/>
    <mergeCell ref="A59:B60"/>
    <mergeCell ref="C59:D60"/>
    <mergeCell ref="E59:F60"/>
    <mergeCell ref="A57:B57"/>
    <mergeCell ref="C57:D57"/>
    <mergeCell ref="E57:F57"/>
    <mergeCell ref="A55:B55"/>
    <mergeCell ref="C55:D55"/>
    <mergeCell ref="E55:F55"/>
    <mergeCell ref="A56:B56"/>
    <mergeCell ref="C56:D56"/>
    <mergeCell ref="E56:F56"/>
    <mergeCell ref="L70:M70"/>
    <mergeCell ref="A72:B72"/>
    <mergeCell ref="C72:D72"/>
    <mergeCell ref="E72:F72"/>
    <mergeCell ref="A73:B73"/>
    <mergeCell ref="C73:D73"/>
    <mergeCell ref="E73:F73"/>
    <mergeCell ref="E62:F62"/>
    <mergeCell ref="A70:B71"/>
    <mergeCell ref="C70:D71"/>
    <mergeCell ref="E70:F71"/>
    <mergeCell ref="G70:G71"/>
    <mergeCell ref="H70:I70"/>
    <mergeCell ref="A64:B64"/>
    <mergeCell ref="C64:D64"/>
    <mergeCell ref="E64:F64"/>
    <mergeCell ref="A65:B65"/>
    <mergeCell ref="C65:D65"/>
    <mergeCell ref="E65:F65"/>
    <mergeCell ref="A63:B63"/>
    <mergeCell ref="C63:D63"/>
    <mergeCell ref="E63:F63"/>
    <mergeCell ref="A62:B62"/>
    <mergeCell ref="C62:D62"/>
    <mergeCell ref="Q75:Q76"/>
    <mergeCell ref="R75:R76"/>
    <mergeCell ref="S75:S76"/>
    <mergeCell ref="T75:U75"/>
    <mergeCell ref="V75:W75"/>
    <mergeCell ref="X75:Y75"/>
    <mergeCell ref="O77:P77"/>
    <mergeCell ref="O78:P78"/>
    <mergeCell ref="A100:B100"/>
    <mergeCell ref="C100:D100"/>
    <mergeCell ref="E100:F100"/>
    <mergeCell ref="E97:F98"/>
    <mergeCell ref="G97:G98"/>
    <mergeCell ref="H97:I97"/>
    <mergeCell ref="J97:K97"/>
    <mergeCell ref="L97:M97"/>
    <mergeCell ref="A99:B99"/>
    <mergeCell ref="C99:D99"/>
    <mergeCell ref="E99:F99"/>
    <mergeCell ref="A95:B95"/>
    <mergeCell ref="C95:D95"/>
    <mergeCell ref="E95:F95"/>
    <mergeCell ref="A86:B86"/>
    <mergeCell ref="C86:D86"/>
    <mergeCell ref="O119:P119"/>
    <mergeCell ref="O120:P120"/>
    <mergeCell ref="O121:P121"/>
    <mergeCell ref="V110:W110"/>
    <mergeCell ref="X110:Y110"/>
    <mergeCell ref="O112:P112"/>
    <mergeCell ref="O113:P113"/>
    <mergeCell ref="O114:P114"/>
    <mergeCell ref="O115:P115"/>
    <mergeCell ref="O116:P116"/>
    <mergeCell ref="O117:P117"/>
    <mergeCell ref="O118:P118"/>
    <mergeCell ref="O110:P111"/>
    <mergeCell ref="Q110:Q111"/>
    <mergeCell ref="R110:R111"/>
    <mergeCell ref="S110:S111"/>
    <mergeCell ref="T110:U110"/>
    <mergeCell ref="A93:B93"/>
    <mergeCell ref="C93:D93"/>
    <mergeCell ref="E93:F93"/>
    <mergeCell ref="A94:B94"/>
    <mergeCell ref="C94:D94"/>
    <mergeCell ref="E94:F94"/>
    <mergeCell ref="O53:P53"/>
    <mergeCell ref="O55:P55"/>
    <mergeCell ref="O56:P56"/>
    <mergeCell ref="O57:P57"/>
    <mergeCell ref="O58:P58"/>
    <mergeCell ref="O59:P59"/>
    <mergeCell ref="O60:P60"/>
    <mergeCell ref="O61:P61"/>
    <mergeCell ref="O63:P64"/>
    <mergeCell ref="O73:P73"/>
    <mergeCell ref="O71:P71"/>
    <mergeCell ref="O72:P72"/>
    <mergeCell ref="O79:P79"/>
    <mergeCell ref="O80:P80"/>
    <mergeCell ref="O81:P81"/>
    <mergeCell ref="O82:P82"/>
    <mergeCell ref="O75:P76"/>
    <mergeCell ref="J70:K70"/>
    <mergeCell ref="O49:P50"/>
    <mergeCell ref="Q49:Q50"/>
    <mergeCell ref="R49:R50"/>
    <mergeCell ref="S49:S50"/>
    <mergeCell ref="T49:U49"/>
    <mergeCell ref="V49:W49"/>
    <mergeCell ref="X49:Y49"/>
    <mergeCell ref="O51:P51"/>
    <mergeCell ref="O52:P52"/>
    <mergeCell ref="V63:W63"/>
    <mergeCell ref="X63:Y63"/>
    <mergeCell ref="O65:P65"/>
    <mergeCell ref="O66:P66"/>
    <mergeCell ref="O54:P54"/>
    <mergeCell ref="O67:P67"/>
    <mergeCell ref="O68:P68"/>
    <mergeCell ref="O69:P69"/>
    <mergeCell ref="O70:P70"/>
    <mergeCell ref="Q63:Q64"/>
    <mergeCell ref="R63:R64"/>
    <mergeCell ref="S63:S64"/>
    <mergeCell ref="T63:U63"/>
    <mergeCell ref="A122:B123"/>
    <mergeCell ref="C122:D123"/>
    <mergeCell ref="E122:F123"/>
    <mergeCell ref="G122:G123"/>
    <mergeCell ref="H122:I122"/>
    <mergeCell ref="J122:K122"/>
    <mergeCell ref="L122:M122"/>
    <mergeCell ref="A124:B124"/>
    <mergeCell ref="C124:D124"/>
    <mergeCell ref="E124:F124"/>
    <mergeCell ref="A128:B128"/>
    <mergeCell ref="C128:D128"/>
    <mergeCell ref="E128:F128"/>
    <mergeCell ref="A129:B129"/>
    <mergeCell ref="C129:D129"/>
    <mergeCell ref="E129:F129"/>
    <mergeCell ref="A125:B125"/>
    <mergeCell ref="C125:D125"/>
    <mergeCell ref="E125:F125"/>
    <mergeCell ref="A126:B126"/>
    <mergeCell ref="C126:D126"/>
    <mergeCell ref="E126:F126"/>
    <mergeCell ref="A127:B127"/>
    <mergeCell ref="C127:D127"/>
    <mergeCell ref="E127:F127"/>
    <mergeCell ref="O84:P85"/>
    <mergeCell ref="Q84:Q85"/>
    <mergeCell ref="R84:R85"/>
    <mergeCell ref="S84:S85"/>
    <mergeCell ref="T84:U84"/>
    <mergeCell ref="V84:W84"/>
    <mergeCell ref="X84:Y84"/>
    <mergeCell ref="O86:P86"/>
    <mergeCell ref="O87:P87"/>
    <mergeCell ref="G104:G105"/>
    <mergeCell ref="H104:H105"/>
    <mergeCell ref="I104:I105"/>
    <mergeCell ref="J104:J105"/>
    <mergeCell ref="K104:K105"/>
    <mergeCell ref="L104:L105"/>
    <mergeCell ref="M104:M105"/>
    <mergeCell ref="O88:P88"/>
    <mergeCell ref="O89:P89"/>
    <mergeCell ref="O90:P90"/>
    <mergeCell ref="O91:P91"/>
    <mergeCell ref="O92:P92"/>
    <mergeCell ref="O93:P93"/>
    <mergeCell ref="O94:P94"/>
    <mergeCell ref="O95:P95"/>
    <mergeCell ref="O96:P96"/>
    <mergeCell ref="O98:P99"/>
    <mergeCell ref="O104:P104"/>
    <mergeCell ref="O105:P10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115"/>
  <sheetViews>
    <sheetView zoomScale="85" zoomScaleNormal="85" workbookViewId="0">
      <selection activeCell="K36" sqref="K36"/>
    </sheetView>
  </sheetViews>
  <sheetFormatPr defaultColWidth="9.140625" defaultRowHeight="15" x14ac:dyDescent="0.25"/>
  <cols>
    <col min="1" max="1" width="12.7109375" style="17" customWidth="1"/>
    <col min="2" max="2" width="11.85546875" style="17" customWidth="1"/>
    <col min="3" max="3" width="10.7109375" style="17" customWidth="1"/>
    <col min="4" max="4" width="11.5703125" style="17" customWidth="1"/>
    <col min="5" max="5" width="11.7109375" style="17" customWidth="1"/>
    <col min="6" max="6" width="14.5703125" style="17" customWidth="1"/>
    <col min="7" max="7" width="13.85546875" style="17" customWidth="1"/>
    <col min="8" max="8" width="12.42578125" style="17" customWidth="1"/>
    <col min="9" max="9" width="14.7109375" style="17" customWidth="1"/>
    <col min="10" max="11" width="17.42578125" style="17" customWidth="1"/>
    <col min="12" max="12" width="5" style="17" customWidth="1"/>
    <col min="13" max="13" width="12.85546875" style="17" customWidth="1"/>
    <col min="14" max="14" width="12.7109375" style="17" customWidth="1"/>
    <col min="15" max="15" width="11.140625" style="17" customWidth="1"/>
    <col min="16" max="16" width="11.85546875" style="17" customWidth="1"/>
    <col min="17" max="17" width="11.42578125" style="17" customWidth="1"/>
    <col min="18" max="18" width="14.28515625" style="17" customWidth="1"/>
    <col min="19" max="20" width="14.85546875" style="17" customWidth="1"/>
    <col min="21" max="21" width="14.28515625" style="17" customWidth="1"/>
    <col min="22" max="22" width="14" style="17" customWidth="1"/>
    <col min="23" max="23" width="18.28515625" style="17" customWidth="1"/>
    <col min="24" max="43" width="9.7109375" style="17" customWidth="1"/>
    <col min="44" max="16384" width="9.140625" style="17"/>
  </cols>
  <sheetData>
    <row r="1" spans="1:43" ht="22.5" customHeight="1" x14ac:dyDescent="0.25">
      <c r="A1" s="714" t="s">
        <v>747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714"/>
      <c r="T1" s="714"/>
      <c r="U1" s="714"/>
      <c r="V1" s="714"/>
      <c r="W1" s="714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</row>
    <row r="2" spans="1:43" ht="15" customHeight="1" x14ac:dyDescent="0.25">
      <c r="A2" s="715" t="s">
        <v>257</v>
      </c>
      <c r="B2" s="715"/>
      <c r="C2" s="715"/>
      <c r="D2" s="715"/>
      <c r="E2" s="715"/>
      <c r="F2" s="715"/>
      <c r="G2" s="715"/>
      <c r="H2" s="715" t="s">
        <v>460</v>
      </c>
      <c r="I2" s="715"/>
      <c r="J2" s="715"/>
      <c r="K2" s="715"/>
      <c r="L2" s="715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</row>
    <row r="3" spans="1:43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</row>
    <row r="4" spans="1:43" ht="18" customHeight="1" x14ac:dyDescent="0.25">
      <c r="A4" s="695" t="s">
        <v>531</v>
      </c>
      <c r="B4" s="696"/>
      <c r="C4" s="701" t="s">
        <v>437</v>
      </c>
      <c r="D4" s="701" t="s">
        <v>439</v>
      </c>
      <c r="E4" s="701" t="s">
        <v>438</v>
      </c>
      <c r="F4" s="691" t="s">
        <v>440</v>
      </c>
      <c r="G4" s="692"/>
      <c r="H4" s="691" t="s">
        <v>441</v>
      </c>
      <c r="I4" s="692"/>
      <c r="J4" s="691" t="s">
        <v>442</v>
      </c>
      <c r="K4" s="692"/>
      <c r="L4" s="36"/>
      <c r="M4" s="695" t="s">
        <v>557</v>
      </c>
      <c r="N4" s="696"/>
      <c r="O4" s="701" t="s">
        <v>437</v>
      </c>
      <c r="P4" s="701" t="s">
        <v>439</v>
      </c>
      <c r="Q4" s="701" t="s">
        <v>438</v>
      </c>
      <c r="R4" s="691" t="s">
        <v>440</v>
      </c>
      <c r="S4" s="692"/>
      <c r="T4" s="691" t="s">
        <v>441</v>
      </c>
      <c r="U4" s="692"/>
      <c r="V4" s="691" t="s">
        <v>442</v>
      </c>
      <c r="W4" s="692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</row>
    <row r="5" spans="1:43" ht="18" customHeight="1" x14ac:dyDescent="0.25">
      <c r="A5" s="697"/>
      <c r="B5" s="698"/>
      <c r="C5" s="703"/>
      <c r="D5" s="703"/>
      <c r="E5" s="703"/>
      <c r="F5" s="151" t="s">
        <v>485</v>
      </c>
      <c r="G5" s="152" t="s">
        <v>536</v>
      </c>
      <c r="H5" s="151" t="s">
        <v>485</v>
      </c>
      <c r="I5" s="153" t="s">
        <v>467</v>
      </c>
      <c r="J5" s="154" t="s">
        <v>538</v>
      </c>
      <c r="K5" s="152" t="s">
        <v>537</v>
      </c>
      <c r="L5" s="36"/>
      <c r="M5" s="697"/>
      <c r="N5" s="698"/>
      <c r="O5" s="703"/>
      <c r="P5" s="703"/>
      <c r="Q5" s="703"/>
      <c r="R5" s="151" t="s">
        <v>467</v>
      </c>
      <c r="S5" s="152" t="s">
        <v>536</v>
      </c>
      <c r="T5" s="151" t="s">
        <v>558</v>
      </c>
      <c r="U5" s="153" t="s">
        <v>518</v>
      </c>
      <c r="V5" s="154" t="s">
        <v>467</v>
      </c>
      <c r="W5" s="152" t="s">
        <v>559</v>
      </c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</row>
    <row r="6" spans="1:43" ht="18" customHeight="1" x14ac:dyDescent="0.25">
      <c r="A6" s="542" t="s">
        <v>248</v>
      </c>
      <c r="B6" s="542"/>
      <c r="C6" s="101"/>
      <c r="D6" s="163"/>
      <c r="E6" s="163"/>
      <c r="F6" s="162"/>
      <c r="G6" s="164"/>
      <c r="H6" s="162"/>
      <c r="I6" s="164"/>
      <c r="J6" s="162"/>
      <c r="K6" s="164"/>
      <c r="L6" s="36"/>
      <c r="M6" s="542" t="s">
        <v>248</v>
      </c>
      <c r="N6" s="542"/>
      <c r="O6" s="101"/>
      <c r="P6" s="163"/>
      <c r="Q6" s="163"/>
      <c r="R6" s="162"/>
      <c r="S6" s="164"/>
      <c r="T6" s="162"/>
      <c r="U6" s="164"/>
      <c r="V6" s="162"/>
      <c r="W6" s="164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</row>
    <row r="7" spans="1:43" ht="18" customHeight="1" x14ac:dyDescent="0.25">
      <c r="A7" s="542" t="s">
        <v>247</v>
      </c>
      <c r="B7" s="542"/>
      <c r="C7" s="166" t="str">
        <f>IF(Feats!$B$20=1,"Yes","No")</f>
        <v>No</v>
      </c>
      <c r="D7" s="166" t="str">
        <f>IF(Feats!$B$20=1,"Yes","No")</f>
        <v>No</v>
      </c>
      <c r="E7" s="166" t="str">
        <f>IF(Feats!$B$20=1,"Yes","No")</f>
        <v>No</v>
      </c>
      <c r="F7" s="166" t="str">
        <f>IF(Feats!$B$20=1,"Yes","No")</f>
        <v>No</v>
      </c>
      <c r="G7" s="166" t="str">
        <f>IF(Feats!$B$20=1,"Yes","No")</f>
        <v>No</v>
      </c>
      <c r="H7" s="166" t="str">
        <f>IF(Feats!$B$20=1,"Yes","No")</f>
        <v>No</v>
      </c>
      <c r="I7" s="166" t="str">
        <f>IF(Feats!$B$20=1,"Yes","No")</f>
        <v>No</v>
      </c>
      <c r="J7" s="166" t="str">
        <f>IF(Feats!$B$20=1,"Yes","No")</f>
        <v>No</v>
      </c>
      <c r="K7" s="166" t="str">
        <f>IF(Feats!$B$20=1,"Yes","No")</f>
        <v>No</v>
      </c>
      <c r="L7" s="36"/>
      <c r="M7" s="542" t="s">
        <v>247</v>
      </c>
      <c r="N7" s="542"/>
      <c r="O7" s="166" t="str">
        <f>IF(Feats!$B$24=1,"Yes","No")</f>
        <v>No</v>
      </c>
      <c r="P7" s="166" t="str">
        <f>IF(Feats!$B$24=1,"Yes","No")</f>
        <v>No</v>
      </c>
      <c r="Q7" s="166" t="str">
        <f>IF(Feats!$B$24=1,"Yes","No")</f>
        <v>No</v>
      </c>
      <c r="R7" s="166" t="str">
        <f>IF(Feats!$B$24=1,"Yes","No")</f>
        <v>No</v>
      </c>
      <c r="S7" s="166" t="str">
        <f>IF(Feats!$B$24=1,"Yes","No")</f>
        <v>No</v>
      </c>
      <c r="T7" s="166" t="str">
        <f>IF(Feats!$B$24=1,"Yes","No")</f>
        <v>No</v>
      </c>
      <c r="U7" s="166" t="str">
        <f>IF(Feats!$B$24=1,"Yes","No")</f>
        <v>No</v>
      </c>
      <c r="V7" s="166" t="str">
        <f>IF(Feats!$B$24=1,"Yes","No")</f>
        <v>No</v>
      </c>
      <c r="W7" s="166" t="str">
        <f>IF(Feats!$B$24=1,"Yes","No")</f>
        <v>No</v>
      </c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</row>
    <row r="8" spans="1:43" ht="18" customHeight="1" x14ac:dyDescent="0.25">
      <c r="A8" s="691" t="s">
        <v>533</v>
      </c>
      <c r="B8" s="692"/>
      <c r="C8" s="155">
        <v>1</v>
      </c>
      <c r="D8" s="166">
        <v>1</v>
      </c>
      <c r="E8" s="166">
        <v>2</v>
      </c>
      <c r="F8" s="166" t="s">
        <v>53</v>
      </c>
      <c r="G8" s="166" t="s">
        <v>53</v>
      </c>
      <c r="H8" s="166" t="s">
        <v>53</v>
      </c>
      <c r="I8" s="155" t="s">
        <v>450</v>
      </c>
      <c r="J8" s="166" t="s">
        <v>53</v>
      </c>
      <c r="K8" s="166" t="s">
        <v>53</v>
      </c>
      <c r="L8" s="36"/>
      <c r="M8" s="691" t="s">
        <v>727</v>
      </c>
      <c r="N8" s="692"/>
      <c r="O8" s="198" t="s">
        <v>451</v>
      </c>
      <c r="P8" s="198" t="s">
        <v>786</v>
      </c>
      <c r="Q8" s="198" t="s">
        <v>786</v>
      </c>
      <c r="R8" s="333" t="s">
        <v>786</v>
      </c>
      <c r="S8" s="333" t="s">
        <v>786</v>
      </c>
      <c r="T8" s="333" t="s">
        <v>786</v>
      </c>
      <c r="U8" s="333" t="s">
        <v>786</v>
      </c>
      <c r="V8" s="333" t="s">
        <v>786</v>
      </c>
      <c r="W8" s="333" t="s">
        <v>786</v>
      </c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</row>
    <row r="9" spans="1:43" ht="18" customHeight="1" x14ac:dyDescent="0.25">
      <c r="A9" s="691" t="s">
        <v>534</v>
      </c>
      <c r="B9" s="692"/>
      <c r="C9" s="156" t="s">
        <v>535</v>
      </c>
      <c r="D9" s="156" t="s">
        <v>535</v>
      </c>
      <c r="E9" s="156" t="s">
        <v>535</v>
      </c>
      <c r="F9" s="166" t="s">
        <v>53</v>
      </c>
      <c r="G9" s="166" t="s">
        <v>53</v>
      </c>
      <c r="H9" s="166" t="s">
        <v>53</v>
      </c>
      <c r="I9" s="166" t="s">
        <v>53</v>
      </c>
      <c r="J9" s="156" t="s">
        <v>459</v>
      </c>
      <c r="K9" s="166" t="s">
        <v>53</v>
      </c>
      <c r="L9" s="36"/>
      <c r="M9" s="691" t="s">
        <v>552</v>
      </c>
      <c r="N9" s="692"/>
      <c r="O9" s="155">
        <v>1</v>
      </c>
      <c r="P9" s="166">
        <v>1</v>
      </c>
      <c r="Q9" s="166">
        <v>2</v>
      </c>
      <c r="R9" s="155" t="s">
        <v>450</v>
      </c>
      <c r="S9" s="166" t="s">
        <v>53</v>
      </c>
      <c r="T9" s="166" t="s">
        <v>53</v>
      </c>
      <c r="U9" s="166" t="s">
        <v>53</v>
      </c>
      <c r="V9" s="155" t="s">
        <v>450</v>
      </c>
      <c r="W9" s="166" t="s">
        <v>451</v>
      </c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</row>
    <row r="10" spans="1:43" ht="18" customHeight="1" x14ac:dyDescent="0.25">
      <c r="A10" s="542" t="s">
        <v>539</v>
      </c>
      <c r="B10" s="542"/>
      <c r="C10" s="166">
        <v>1</v>
      </c>
      <c r="D10" s="165">
        <v>2</v>
      </c>
      <c r="E10" s="165">
        <v>2</v>
      </c>
      <c r="F10" s="155" t="s">
        <v>450</v>
      </c>
      <c r="G10" s="166" t="s">
        <v>53</v>
      </c>
      <c r="H10" s="155" t="s">
        <v>450</v>
      </c>
      <c r="I10" s="166" t="s">
        <v>53</v>
      </c>
      <c r="J10" s="166" t="s">
        <v>53</v>
      </c>
      <c r="K10" s="155" t="s">
        <v>450</v>
      </c>
      <c r="L10" s="36"/>
      <c r="M10" s="691" t="s">
        <v>554</v>
      </c>
      <c r="N10" s="692"/>
      <c r="O10" s="166" t="s">
        <v>53</v>
      </c>
      <c r="P10" s="166" t="s">
        <v>53</v>
      </c>
      <c r="Q10" s="166" t="s">
        <v>53</v>
      </c>
      <c r="R10" s="166" t="s">
        <v>53</v>
      </c>
      <c r="S10" s="166" t="s">
        <v>53</v>
      </c>
      <c r="T10" s="155" t="s">
        <v>517</v>
      </c>
      <c r="U10" s="166" t="s">
        <v>53</v>
      </c>
      <c r="V10" s="166" t="s">
        <v>53</v>
      </c>
      <c r="W10" s="166" t="s">
        <v>53</v>
      </c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3" ht="18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43" ht="18" customHeight="1" x14ac:dyDescent="0.25">
      <c r="A12" s="695" t="s">
        <v>550</v>
      </c>
      <c r="B12" s="696"/>
      <c r="C12" s="701" t="s">
        <v>437</v>
      </c>
      <c r="D12" s="701" t="s">
        <v>439</v>
      </c>
      <c r="E12" s="701" t="s">
        <v>438</v>
      </c>
      <c r="F12" s="691" t="s">
        <v>440</v>
      </c>
      <c r="G12" s="692"/>
      <c r="H12" s="691" t="s">
        <v>441</v>
      </c>
      <c r="I12" s="692"/>
      <c r="J12" s="691" t="s">
        <v>442</v>
      </c>
      <c r="K12" s="692"/>
      <c r="L12" s="36"/>
      <c r="M12" s="695" t="s">
        <v>560</v>
      </c>
      <c r="N12" s="696"/>
      <c r="O12" s="701" t="s">
        <v>437</v>
      </c>
      <c r="P12" s="701" t="s">
        <v>439</v>
      </c>
      <c r="Q12" s="701" t="s">
        <v>438</v>
      </c>
      <c r="R12" s="691" t="s">
        <v>440</v>
      </c>
      <c r="S12" s="692"/>
      <c r="T12" s="691" t="s">
        <v>441</v>
      </c>
      <c r="U12" s="692"/>
      <c r="V12" s="691" t="s">
        <v>442</v>
      </c>
      <c r="W12" s="692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ht="18" customHeight="1" x14ac:dyDescent="0.25">
      <c r="A13" s="697"/>
      <c r="B13" s="698"/>
      <c r="C13" s="703"/>
      <c r="D13" s="703"/>
      <c r="E13" s="703"/>
      <c r="F13" s="151" t="s">
        <v>542</v>
      </c>
      <c r="G13" s="152" t="s">
        <v>536</v>
      </c>
      <c r="H13" s="151" t="s">
        <v>467</v>
      </c>
      <c r="I13" s="152" t="s">
        <v>543</v>
      </c>
      <c r="J13" s="154" t="s">
        <v>446</v>
      </c>
      <c r="K13" s="152" t="s">
        <v>467</v>
      </c>
      <c r="L13" s="36"/>
      <c r="M13" s="697"/>
      <c r="N13" s="698"/>
      <c r="O13" s="703"/>
      <c r="P13" s="703"/>
      <c r="Q13" s="703"/>
      <c r="R13" s="151" t="s">
        <v>561</v>
      </c>
      <c r="S13" s="152" t="s">
        <v>536</v>
      </c>
      <c r="T13" s="151" t="s">
        <v>523</v>
      </c>
      <c r="U13" s="152" t="s">
        <v>562</v>
      </c>
      <c r="V13" s="154" t="s">
        <v>467</v>
      </c>
      <c r="W13" s="152" t="s">
        <v>563</v>
      </c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ht="18" customHeight="1" x14ac:dyDescent="0.25">
      <c r="A14" s="542" t="s">
        <v>248</v>
      </c>
      <c r="B14" s="542"/>
      <c r="C14" s="101"/>
      <c r="D14" s="163"/>
      <c r="E14" s="163"/>
      <c r="F14" s="162"/>
      <c r="G14" s="164"/>
      <c r="H14" s="162"/>
      <c r="I14" s="164"/>
      <c r="J14" s="162"/>
      <c r="K14" s="164"/>
      <c r="L14" s="36"/>
      <c r="M14" s="542" t="s">
        <v>248</v>
      </c>
      <c r="N14" s="542"/>
      <c r="O14" s="101"/>
      <c r="P14" s="163"/>
      <c r="Q14" s="163"/>
      <c r="R14" s="162"/>
      <c r="S14" s="164"/>
      <c r="T14" s="162"/>
      <c r="U14" s="164"/>
      <c r="V14" s="162"/>
      <c r="W14" s="164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</row>
    <row r="15" spans="1:43" ht="18" customHeight="1" x14ac:dyDescent="0.25">
      <c r="A15" s="542" t="s">
        <v>247</v>
      </c>
      <c r="B15" s="542"/>
      <c r="C15" s="166" t="str">
        <f>IF(Feats!$B$21=1,"Yes","No")</f>
        <v>No</v>
      </c>
      <c r="D15" s="166" t="str">
        <f>IF(Feats!$B$21=1,"Yes","No")</f>
        <v>No</v>
      </c>
      <c r="E15" s="166" t="str">
        <f>IF(Feats!$B$21=1,"Yes","No")</f>
        <v>No</v>
      </c>
      <c r="F15" s="166" t="str">
        <f>IF(Feats!$B$21=1,"Yes","No")</f>
        <v>No</v>
      </c>
      <c r="G15" s="166" t="str">
        <f>IF(Feats!$B$21=1,"Yes","No")</f>
        <v>No</v>
      </c>
      <c r="H15" s="166" t="str">
        <f>IF(Feats!$B$21=1,"Yes","No")</f>
        <v>No</v>
      </c>
      <c r="I15" s="166" t="str">
        <f>IF(Feats!$B$21=1,"Yes","No")</f>
        <v>No</v>
      </c>
      <c r="J15" s="166" t="str">
        <f>IF(Feats!$B$21=1,"Yes","No")</f>
        <v>No</v>
      </c>
      <c r="K15" s="166" t="str">
        <f>IF(Feats!$B$21=1,"Yes","No")</f>
        <v>No</v>
      </c>
      <c r="L15" s="36"/>
      <c r="M15" s="542" t="s">
        <v>247</v>
      </c>
      <c r="N15" s="542"/>
      <c r="O15" s="166" t="str">
        <f>IF(Feats!$B$25=1,"Yes","No")</f>
        <v>No</v>
      </c>
      <c r="P15" s="166" t="str">
        <f>IF(Feats!$B$25=1,"Yes","No")</f>
        <v>No</v>
      </c>
      <c r="Q15" s="166" t="str">
        <f>IF(Feats!$B$25=1,"Yes","No")</f>
        <v>No</v>
      </c>
      <c r="R15" s="166" t="str">
        <f>IF(Feats!$B$25=1,"Yes","No")</f>
        <v>No</v>
      </c>
      <c r="S15" s="166" t="str">
        <f>IF(Feats!$B$25=1,"Yes","No")</f>
        <v>No</v>
      </c>
      <c r="T15" s="166" t="str">
        <f>IF(Feats!$B$25=1,"Yes","No")</f>
        <v>No</v>
      </c>
      <c r="U15" s="166" t="str">
        <f>IF(Feats!$B$25=1,"Yes","No")</f>
        <v>No</v>
      </c>
      <c r="V15" s="166" t="str">
        <f>IF(Feats!$B$25=1,"Yes","No")</f>
        <v>No</v>
      </c>
      <c r="W15" s="166" t="str">
        <f>IF(Feats!$B$25=1,"Yes","No")</f>
        <v>No</v>
      </c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 ht="18" customHeight="1" x14ac:dyDescent="0.25">
      <c r="A16" s="691" t="s">
        <v>467</v>
      </c>
      <c r="B16" s="692"/>
      <c r="C16" s="166" t="s">
        <v>540</v>
      </c>
      <c r="D16" s="166" t="s">
        <v>541</v>
      </c>
      <c r="E16" s="166" t="s">
        <v>541</v>
      </c>
      <c r="F16" s="166" t="s">
        <v>53</v>
      </c>
      <c r="G16" s="166" t="s">
        <v>53</v>
      </c>
      <c r="H16" s="155" t="s">
        <v>450</v>
      </c>
      <c r="I16" s="166" t="s">
        <v>53</v>
      </c>
      <c r="J16" s="166" t="s">
        <v>53</v>
      </c>
      <c r="K16" s="155" t="s">
        <v>450</v>
      </c>
      <c r="L16" s="36"/>
      <c r="M16" s="691" t="s">
        <v>467</v>
      </c>
      <c r="N16" s="692"/>
      <c r="O16" s="166">
        <v>1</v>
      </c>
      <c r="P16" s="166">
        <v>2</v>
      </c>
      <c r="Q16" s="166">
        <v>3</v>
      </c>
      <c r="R16" s="166" t="s">
        <v>53</v>
      </c>
      <c r="S16" s="166" t="s">
        <v>53</v>
      </c>
      <c r="T16" s="166" t="s">
        <v>53</v>
      </c>
      <c r="U16" s="166" t="s">
        <v>53</v>
      </c>
      <c r="V16" s="155" t="s">
        <v>450</v>
      </c>
      <c r="W16" s="166" t="s">
        <v>53</v>
      </c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</row>
    <row r="17" spans="1:43" ht="18" customHeight="1" x14ac:dyDescent="0.25">
      <c r="A17" s="691" t="s">
        <v>249</v>
      </c>
      <c r="B17" s="692"/>
      <c r="C17" s="156">
        <v>2</v>
      </c>
      <c r="D17" s="156">
        <v>2</v>
      </c>
      <c r="E17" s="156">
        <v>3</v>
      </c>
      <c r="F17" s="166" t="s">
        <v>53</v>
      </c>
      <c r="G17" s="166" t="s">
        <v>53</v>
      </c>
      <c r="H17" s="166" t="s">
        <v>53</v>
      </c>
      <c r="I17" s="166" t="s">
        <v>53</v>
      </c>
      <c r="J17" s="155" t="s">
        <v>450</v>
      </c>
      <c r="K17" s="166" t="s">
        <v>53</v>
      </c>
      <c r="L17" s="36"/>
      <c r="M17" s="691" t="s">
        <v>564</v>
      </c>
      <c r="N17" s="692"/>
      <c r="O17" s="166" t="s">
        <v>53</v>
      </c>
      <c r="P17" s="166" t="s">
        <v>53</v>
      </c>
      <c r="Q17" s="166" t="s">
        <v>53</v>
      </c>
      <c r="R17" s="166" t="s">
        <v>565</v>
      </c>
      <c r="S17" s="166" t="s">
        <v>53</v>
      </c>
      <c r="T17" s="166" t="s">
        <v>53</v>
      </c>
      <c r="U17" s="155" t="s">
        <v>566</v>
      </c>
      <c r="V17" s="166" t="s">
        <v>53</v>
      </c>
      <c r="W17" s="166" t="s">
        <v>567</v>
      </c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</row>
    <row r="18" spans="1:43" ht="18" customHeight="1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</row>
    <row r="19" spans="1:43" ht="18" customHeight="1" x14ac:dyDescent="0.25">
      <c r="A19" s="695" t="s">
        <v>549</v>
      </c>
      <c r="B19" s="696"/>
      <c r="C19" s="701" t="s">
        <v>437</v>
      </c>
      <c r="D19" s="701" t="s">
        <v>439</v>
      </c>
      <c r="E19" s="701" t="s">
        <v>438</v>
      </c>
      <c r="F19" s="691" t="s">
        <v>440</v>
      </c>
      <c r="G19" s="692"/>
      <c r="H19" s="691" t="s">
        <v>441</v>
      </c>
      <c r="I19" s="692"/>
      <c r="J19" s="691" t="s">
        <v>442</v>
      </c>
      <c r="K19" s="692"/>
      <c r="L19" s="36"/>
      <c r="M19" s="695" t="s">
        <v>568</v>
      </c>
      <c r="N19" s="696"/>
      <c r="O19" s="701" t="s">
        <v>437</v>
      </c>
      <c r="P19" s="701" t="s">
        <v>439</v>
      </c>
      <c r="Q19" s="701" t="s">
        <v>438</v>
      </c>
      <c r="R19" s="710" t="s">
        <v>440</v>
      </c>
      <c r="S19" s="711"/>
      <c r="T19" s="691" t="s">
        <v>441</v>
      </c>
      <c r="U19" s="692"/>
      <c r="V19" s="691" t="s">
        <v>442</v>
      </c>
      <c r="W19" s="692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</row>
    <row r="20" spans="1:43" ht="18" customHeight="1" x14ac:dyDescent="0.25">
      <c r="A20" s="697"/>
      <c r="B20" s="698"/>
      <c r="C20" s="703"/>
      <c r="D20" s="703"/>
      <c r="E20" s="703"/>
      <c r="F20" s="151" t="s">
        <v>546</v>
      </c>
      <c r="G20" s="152" t="s">
        <v>536</v>
      </c>
      <c r="H20" s="151" t="s">
        <v>446</v>
      </c>
      <c r="I20" s="153" t="s">
        <v>518</v>
      </c>
      <c r="J20" s="154" t="s">
        <v>548</v>
      </c>
      <c r="K20" s="152" t="s">
        <v>479</v>
      </c>
      <c r="L20" s="36"/>
      <c r="M20" s="697"/>
      <c r="N20" s="698"/>
      <c r="O20" s="703"/>
      <c r="P20" s="703"/>
      <c r="Q20" s="703"/>
      <c r="R20" s="712"/>
      <c r="S20" s="713"/>
      <c r="T20" s="151" t="s">
        <v>518</v>
      </c>
      <c r="U20" s="152" t="s">
        <v>536</v>
      </c>
      <c r="V20" s="154" t="s">
        <v>467</v>
      </c>
      <c r="W20" s="152" t="s">
        <v>571</v>
      </c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</row>
    <row r="21" spans="1:43" ht="18" customHeight="1" x14ac:dyDescent="0.25">
      <c r="A21" s="542" t="s">
        <v>248</v>
      </c>
      <c r="B21" s="542"/>
      <c r="C21" s="101"/>
      <c r="D21" s="163"/>
      <c r="E21" s="163"/>
      <c r="F21" s="162"/>
      <c r="G21" s="164"/>
      <c r="H21" s="162"/>
      <c r="I21" s="164"/>
      <c r="J21" s="162"/>
      <c r="K21" s="164"/>
      <c r="L21" s="36"/>
      <c r="M21" s="542" t="s">
        <v>248</v>
      </c>
      <c r="N21" s="542"/>
      <c r="O21" s="101"/>
      <c r="P21" s="163"/>
      <c r="Q21" s="163"/>
      <c r="R21" s="708"/>
      <c r="S21" s="709"/>
      <c r="T21" s="162"/>
      <c r="U21" s="164"/>
      <c r="V21" s="162"/>
      <c r="W21" s="164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</row>
    <row r="22" spans="1:43" ht="18" customHeight="1" x14ac:dyDescent="0.25">
      <c r="A22" s="542" t="s">
        <v>247</v>
      </c>
      <c r="B22" s="542"/>
      <c r="C22" s="166" t="str">
        <f>IF(Feats!$B$22=1,"Yes","No")</f>
        <v>No</v>
      </c>
      <c r="D22" s="166" t="str">
        <f>IF(Feats!$B$22=1,"Yes","No")</f>
        <v>No</v>
      </c>
      <c r="E22" s="166" t="str">
        <f>IF(Feats!$B$22=1,"Yes","No")</f>
        <v>No</v>
      </c>
      <c r="F22" s="166" t="str">
        <f>IF(Feats!$B$22=1,"Yes","No")</f>
        <v>No</v>
      </c>
      <c r="G22" s="166" t="str">
        <f>IF(Feats!$B$22=1,"Yes","No")</f>
        <v>No</v>
      </c>
      <c r="H22" s="166" t="str">
        <f>IF(Feats!$B$22=1,"Yes","No")</f>
        <v>No</v>
      </c>
      <c r="I22" s="166" t="str">
        <f>IF(Feats!$B$22=1,"Yes","No")</f>
        <v>No</v>
      </c>
      <c r="J22" s="166" t="str">
        <f>IF(Feats!$B$22=1,"Yes","No")</f>
        <v>No</v>
      </c>
      <c r="K22" s="166" t="str">
        <f>IF(Feats!$B$22=1,"Yes","No")</f>
        <v>No</v>
      </c>
      <c r="L22" s="36"/>
      <c r="M22" s="542" t="s">
        <v>247</v>
      </c>
      <c r="N22" s="542"/>
      <c r="O22" s="166" t="str">
        <f>IF(Feats!$B$26=1,"Yes","No")</f>
        <v>No</v>
      </c>
      <c r="P22" s="166" t="str">
        <f>IF(Feats!$B$26=1,"Yes","No")</f>
        <v>No</v>
      </c>
      <c r="Q22" s="166" t="str">
        <f>IF(Feats!$B$26=1,"Yes","No")</f>
        <v>No</v>
      </c>
      <c r="R22" s="469" t="str">
        <f>IF(Feats!$B$26=1,"Yes","No")</f>
        <v>No</v>
      </c>
      <c r="S22" s="470"/>
      <c r="T22" s="166" t="str">
        <f>IF(Feats!$B$26=1,"Yes","No")</f>
        <v>No</v>
      </c>
      <c r="U22" s="166" t="str">
        <f>IF(Feats!$B$26=1,"Yes","No")</f>
        <v>No</v>
      </c>
      <c r="V22" s="166" t="str">
        <f>IF(Feats!$B$26=1,"Yes","No")</f>
        <v>No</v>
      </c>
      <c r="W22" s="166" t="str">
        <f>IF(Feats!$B$26=1,"Yes","No")</f>
        <v>No</v>
      </c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ht="18" customHeight="1" x14ac:dyDescent="0.25">
      <c r="A23" s="691" t="s">
        <v>474</v>
      </c>
      <c r="B23" s="692"/>
      <c r="C23" s="198" t="s">
        <v>451</v>
      </c>
      <c r="D23" s="198" t="s">
        <v>451</v>
      </c>
      <c r="E23" s="198" t="s">
        <v>451</v>
      </c>
      <c r="F23" s="333" t="s">
        <v>451</v>
      </c>
      <c r="G23" s="333" t="s">
        <v>451</v>
      </c>
      <c r="H23" s="333" t="s">
        <v>451</v>
      </c>
      <c r="I23" s="333" t="s">
        <v>451</v>
      </c>
      <c r="J23" s="333" t="s">
        <v>451</v>
      </c>
      <c r="K23" s="333" t="s">
        <v>451</v>
      </c>
      <c r="L23" s="36"/>
      <c r="M23" s="691" t="s">
        <v>467</v>
      </c>
      <c r="N23" s="692"/>
      <c r="O23" s="166">
        <v>1</v>
      </c>
      <c r="P23" s="166">
        <v>1</v>
      </c>
      <c r="Q23" s="166">
        <v>1</v>
      </c>
      <c r="R23" s="469">
        <v>2</v>
      </c>
      <c r="S23" s="470"/>
      <c r="T23" s="166" t="s">
        <v>53</v>
      </c>
      <c r="U23" s="166" t="s">
        <v>53</v>
      </c>
      <c r="V23" s="166" t="s">
        <v>53</v>
      </c>
      <c r="W23" s="166" t="s">
        <v>451</v>
      </c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ht="18" customHeight="1" x14ac:dyDescent="0.25">
      <c r="A24" s="691" t="s">
        <v>544</v>
      </c>
      <c r="B24" s="692"/>
      <c r="C24" s="198" t="s">
        <v>451</v>
      </c>
      <c r="D24" s="198" t="s">
        <v>787</v>
      </c>
      <c r="E24" s="198" t="s">
        <v>787</v>
      </c>
      <c r="F24" s="155" t="s">
        <v>547</v>
      </c>
      <c r="G24" s="166" t="s">
        <v>53</v>
      </c>
      <c r="H24" s="166" t="s">
        <v>53</v>
      </c>
      <c r="I24" s="166" t="s">
        <v>53</v>
      </c>
      <c r="J24" s="155" t="s">
        <v>547</v>
      </c>
      <c r="K24" s="166" t="s">
        <v>53</v>
      </c>
      <c r="L24" s="36"/>
      <c r="M24" s="691" t="s">
        <v>569</v>
      </c>
      <c r="N24" s="692"/>
      <c r="O24" s="166">
        <v>1</v>
      </c>
      <c r="P24" s="166">
        <v>2</v>
      </c>
      <c r="Q24" s="166">
        <v>2</v>
      </c>
      <c r="R24" s="469">
        <v>2</v>
      </c>
      <c r="S24" s="470"/>
      <c r="T24" s="166" t="s">
        <v>53</v>
      </c>
      <c r="U24" s="166" t="s">
        <v>53</v>
      </c>
      <c r="V24" s="155" t="s">
        <v>450</v>
      </c>
      <c r="W24" s="166" t="s">
        <v>451</v>
      </c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</row>
    <row r="25" spans="1:43" ht="18" customHeight="1" x14ac:dyDescent="0.25">
      <c r="A25" s="691" t="s">
        <v>545</v>
      </c>
      <c r="B25" s="692"/>
      <c r="C25" s="156">
        <v>5</v>
      </c>
      <c r="D25" s="156">
        <v>5</v>
      </c>
      <c r="E25" s="156">
        <v>5</v>
      </c>
      <c r="F25" s="166" t="s">
        <v>53</v>
      </c>
      <c r="G25" s="166" t="s">
        <v>53</v>
      </c>
      <c r="H25" s="166" t="s">
        <v>53</v>
      </c>
      <c r="I25" s="166" t="s">
        <v>53</v>
      </c>
      <c r="J25" s="156" t="s">
        <v>482</v>
      </c>
      <c r="K25" s="166" t="s">
        <v>53</v>
      </c>
      <c r="L25" s="36"/>
      <c r="M25" s="691" t="s">
        <v>570</v>
      </c>
      <c r="N25" s="692"/>
      <c r="O25" s="166">
        <v>1</v>
      </c>
      <c r="P25" s="166">
        <v>1</v>
      </c>
      <c r="Q25" s="166">
        <v>2</v>
      </c>
      <c r="R25" s="469">
        <v>2</v>
      </c>
      <c r="S25" s="470"/>
      <c r="T25" s="166" t="s">
        <v>53</v>
      </c>
      <c r="U25" s="166" t="s">
        <v>53</v>
      </c>
      <c r="V25" s="155" t="s">
        <v>450</v>
      </c>
      <c r="W25" s="166" t="s">
        <v>451</v>
      </c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</row>
    <row r="26" spans="1:43" ht="18" customHeight="1" x14ac:dyDescent="0.25">
      <c r="A26" s="691" t="s">
        <v>249</v>
      </c>
      <c r="B26" s="692"/>
      <c r="C26" s="166">
        <v>1</v>
      </c>
      <c r="D26" s="165">
        <v>1</v>
      </c>
      <c r="E26" s="165">
        <v>2</v>
      </c>
      <c r="F26" s="166" t="s">
        <v>53</v>
      </c>
      <c r="G26" s="166" t="s">
        <v>53</v>
      </c>
      <c r="H26" s="155" t="s">
        <v>450</v>
      </c>
      <c r="I26" s="166" t="s">
        <v>53</v>
      </c>
      <c r="J26" s="166" t="s">
        <v>53</v>
      </c>
      <c r="K26" s="166" t="s">
        <v>53</v>
      </c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1:43" ht="18" customHeight="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43" ht="18" customHeight="1" x14ac:dyDescent="0.25">
      <c r="A28" s="695" t="s">
        <v>551</v>
      </c>
      <c r="B28" s="696"/>
      <c r="C28" s="701" t="s">
        <v>437</v>
      </c>
      <c r="D28" s="701" t="s">
        <v>439</v>
      </c>
      <c r="E28" s="701" t="s">
        <v>438</v>
      </c>
      <c r="F28" s="691" t="s">
        <v>440</v>
      </c>
      <c r="G28" s="692"/>
      <c r="H28" s="691" t="s">
        <v>441</v>
      </c>
      <c r="I28" s="692"/>
      <c r="J28" s="691" t="s">
        <v>442</v>
      </c>
      <c r="K28" s="692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</row>
    <row r="29" spans="1:43" ht="18" customHeight="1" x14ac:dyDescent="0.25">
      <c r="A29" s="697"/>
      <c r="B29" s="698"/>
      <c r="C29" s="703"/>
      <c r="D29" s="703"/>
      <c r="E29" s="703"/>
      <c r="F29" s="151" t="s">
        <v>467</v>
      </c>
      <c r="G29" s="152" t="s">
        <v>536</v>
      </c>
      <c r="H29" s="151" t="s">
        <v>555</v>
      </c>
      <c r="I29" s="153" t="s">
        <v>518</v>
      </c>
      <c r="J29" s="154" t="s">
        <v>467</v>
      </c>
      <c r="K29" s="152" t="s">
        <v>556</v>
      </c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</row>
    <row r="30" spans="1:43" ht="18" customHeight="1" x14ac:dyDescent="0.25">
      <c r="A30" s="542" t="s">
        <v>248</v>
      </c>
      <c r="B30" s="542"/>
      <c r="C30" s="101"/>
      <c r="D30" s="335"/>
      <c r="E30" s="335"/>
      <c r="F30" s="334"/>
      <c r="G30" s="164"/>
      <c r="H30" s="334"/>
      <c r="I30" s="164"/>
      <c r="J30" s="334"/>
      <c r="K30" s="164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ht="18" customHeight="1" x14ac:dyDescent="0.25">
      <c r="A31" s="542" t="s">
        <v>247</v>
      </c>
      <c r="B31" s="542"/>
      <c r="C31" s="166" t="str">
        <f>IF(Feats!$B$23=1,"Yes","No")</f>
        <v>No</v>
      </c>
      <c r="D31" s="166" t="str">
        <f>IF(Feats!$B$23=1,"Yes","No")</f>
        <v>No</v>
      </c>
      <c r="E31" s="166" t="str">
        <f>IF(Feats!$B$23=1,"Yes","No")</f>
        <v>No</v>
      </c>
      <c r="F31" s="166" t="str">
        <f>IF(Feats!$B$23=1,"Yes","No")</f>
        <v>No</v>
      </c>
      <c r="G31" s="166" t="str">
        <f>IF(Feats!$B$23=1,"Yes","No")</f>
        <v>No</v>
      </c>
      <c r="H31" s="166" t="str">
        <f>IF(Feats!$B$23=1,"Yes","No")</f>
        <v>No</v>
      </c>
      <c r="I31" s="166" t="str">
        <f>IF(Feats!$B$23=1,"Yes","No")</f>
        <v>No</v>
      </c>
      <c r="J31" s="166" t="str">
        <f>IF(Feats!$B$23=1,"Yes","No")</f>
        <v>No</v>
      </c>
      <c r="K31" s="166" t="str">
        <f>IF(Feats!$B$23=1,"Yes","No")</f>
        <v>No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ht="18" customHeight="1" x14ac:dyDescent="0.25">
      <c r="A32" s="691" t="s">
        <v>474</v>
      </c>
      <c r="B32" s="692"/>
      <c r="C32" s="198" t="s">
        <v>451</v>
      </c>
      <c r="D32" s="198" t="s">
        <v>786</v>
      </c>
      <c r="E32" s="198" t="s">
        <v>786</v>
      </c>
      <c r="F32" s="333" t="s">
        <v>786</v>
      </c>
      <c r="G32" s="333" t="s">
        <v>786</v>
      </c>
      <c r="H32" s="333" t="s">
        <v>786</v>
      </c>
      <c r="I32" s="333" t="s">
        <v>786</v>
      </c>
      <c r="J32" s="333" t="s">
        <v>786</v>
      </c>
      <c r="K32" s="333" t="s">
        <v>786</v>
      </c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</row>
    <row r="33" spans="1:43" ht="18" customHeight="1" x14ac:dyDescent="0.25">
      <c r="A33" s="691" t="s">
        <v>552</v>
      </c>
      <c r="B33" s="692"/>
      <c r="C33" s="155">
        <v>1</v>
      </c>
      <c r="D33" s="166">
        <v>1</v>
      </c>
      <c r="E33" s="166">
        <v>2</v>
      </c>
      <c r="F33" s="155" t="s">
        <v>450</v>
      </c>
      <c r="G33" s="166" t="s">
        <v>53</v>
      </c>
      <c r="H33" s="166" t="s">
        <v>53</v>
      </c>
      <c r="I33" s="166" t="s">
        <v>53</v>
      </c>
      <c r="J33" s="155" t="s">
        <v>450</v>
      </c>
      <c r="K33" s="166" t="s">
        <v>53</v>
      </c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</row>
    <row r="34" spans="1:43" ht="18" customHeight="1" x14ac:dyDescent="0.25">
      <c r="A34" s="691" t="s">
        <v>553</v>
      </c>
      <c r="B34" s="692"/>
      <c r="C34" s="156">
        <v>1</v>
      </c>
      <c r="D34" s="156">
        <v>1</v>
      </c>
      <c r="E34" s="156">
        <v>1</v>
      </c>
      <c r="F34" s="166" t="s">
        <v>53</v>
      </c>
      <c r="G34" s="166" t="s">
        <v>53</v>
      </c>
      <c r="H34" s="166" t="s">
        <v>53</v>
      </c>
      <c r="I34" s="166" t="s">
        <v>53</v>
      </c>
      <c r="J34" s="166" t="s">
        <v>53</v>
      </c>
      <c r="K34" s="166" t="s">
        <v>53</v>
      </c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</row>
    <row r="35" spans="1:43" ht="18" customHeight="1" x14ac:dyDescent="0.25">
      <c r="A35" s="691" t="s">
        <v>554</v>
      </c>
      <c r="B35" s="692"/>
      <c r="C35" s="166" t="s">
        <v>53</v>
      </c>
      <c r="D35" s="166" t="s">
        <v>53</v>
      </c>
      <c r="E35" s="166" t="s">
        <v>53</v>
      </c>
      <c r="F35" s="166" t="s">
        <v>53</v>
      </c>
      <c r="G35" s="166" t="s">
        <v>53</v>
      </c>
      <c r="H35" s="155" t="s">
        <v>517</v>
      </c>
      <c r="I35" s="166" t="s">
        <v>53</v>
      </c>
      <c r="J35" s="166" t="s">
        <v>53</v>
      </c>
      <c r="K35" s="155" t="s">
        <v>517</v>
      </c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ht="17.45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</row>
    <row r="37" spans="1:43" ht="17.45" customHeight="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ht="17.45" customHeight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 ht="1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</row>
    <row r="40" spans="1:43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</row>
    <row r="41" spans="1:43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</row>
    <row r="42" spans="1:43" ht="17.4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 ht="17.4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ht="17.45" customHeight="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</row>
    <row r="45" spans="1:43" ht="17.4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</row>
    <row r="46" spans="1:43" ht="17.45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</row>
    <row r="47" spans="1:43" ht="17.45" customHeigh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</row>
    <row r="48" spans="1:43" ht="15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 ht="15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</row>
    <row r="51" spans="1:43" ht="17.45" customHeigh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</row>
    <row r="52" spans="1:43" ht="17.4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</row>
    <row r="53" spans="1:43" ht="17.4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</row>
    <row r="54" spans="1:43" ht="17.4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</row>
    <row r="55" spans="1:43" ht="17.45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</row>
    <row r="56" spans="1:43" ht="17.4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</row>
    <row r="57" spans="1:43" ht="17.45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</row>
    <row r="58" spans="1:43" ht="17.45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</row>
    <row r="59" spans="1:43" ht="15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</row>
    <row r="60" spans="1:43" ht="15" customHeight="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</row>
    <row r="61" spans="1:43" ht="15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</row>
    <row r="62" spans="1:43" ht="15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</row>
    <row r="63" spans="1:43" ht="15" customHeight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</row>
    <row r="64" spans="1:43" ht="15" customHeight="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</row>
    <row r="65" spans="1:43" ht="1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</row>
    <row r="66" spans="1:43" ht="15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3" ht="15" customHeight="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</row>
    <row r="68" spans="1:43" ht="15" customHeight="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</row>
    <row r="69" spans="1:43" ht="15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</row>
    <row r="70" spans="1:43" ht="15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</row>
    <row r="71" spans="1:43" ht="15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</row>
    <row r="72" spans="1:43" ht="15" customHeight="1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</row>
    <row r="73" spans="1:43" ht="1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</row>
    <row r="74" spans="1:43" ht="15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</row>
    <row r="75" spans="1:43" ht="1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</row>
    <row r="76" spans="1:43" ht="1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</row>
    <row r="77" spans="1:43" ht="15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</row>
    <row r="78" spans="1:43" ht="15" customHeight="1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</row>
    <row r="79" spans="1:43" ht="15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</row>
    <row r="80" spans="1:43" ht="15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</row>
    <row r="81" spans="1:43" ht="1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</row>
    <row r="82" spans="1:43" ht="15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</row>
    <row r="83" spans="1:43" ht="15" customHeight="1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</row>
    <row r="84" spans="1:43" ht="15" customHeight="1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</row>
    <row r="85" spans="1:43" ht="15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</row>
    <row r="86" spans="1:43" ht="15" customHeight="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</row>
    <row r="87" spans="1:43" ht="15" customHeight="1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</row>
    <row r="88" spans="1:43" ht="15" customHeight="1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</row>
    <row r="89" spans="1:43" ht="1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</row>
    <row r="90" spans="1:43" ht="15" customHeight="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</row>
    <row r="91" spans="1:43" ht="15" customHeight="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</row>
    <row r="92" spans="1:43" ht="15" customHeight="1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</row>
    <row r="93" spans="1:43" ht="15" customHeight="1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</row>
    <row r="94" spans="1:43" ht="15" customHeight="1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 ht="15" customHeight="1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</row>
    <row r="96" spans="1:43" ht="15" customHeight="1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</row>
    <row r="97" spans="1:43" ht="15" customHeight="1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</row>
    <row r="98" spans="1:43" ht="15" customHeight="1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</row>
    <row r="99" spans="1:43" ht="1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</row>
    <row r="100" spans="1:43" ht="15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</row>
    <row r="101" spans="1:43" ht="15" customHeight="1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</row>
    <row r="102" spans="1:43" ht="15" customHeight="1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</row>
    <row r="103" spans="1:43" ht="15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</row>
    <row r="104" spans="1:43" ht="15" customHeight="1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</row>
    <row r="105" spans="1:43" ht="15" customHeight="1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</row>
    <row r="106" spans="1:43" ht="15" customHeight="1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</row>
    <row r="107" spans="1:43" ht="15" customHeight="1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</row>
    <row r="108" spans="1:43" ht="15" customHeight="1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</row>
    <row r="109" spans="1:43" ht="15" customHeight="1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</row>
    <row r="110" spans="1:43" ht="15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</row>
    <row r="111" spans="1:43" ht="15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</row>
    <row r="112" spans="1:43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</row>
    <row r="113" spans="1:43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</row>
    <row r="114" spans="1:43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</row>
    <row r="115" spans="1:43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</row>
  </sheetData>
  <mergeCells count="92">
    <mergeCell ref="P19:P20"/>
    <mergeCell ref="Q19:Q20"/>
    <mergeCell ref="T19:U19"/>
    <mergeCell ref="V19:W19"/>
    <mergeCell ref="M21:N21"/>
    <mergeCell ref="R19:S20"/>
    <mergeCell ref="R21:S21"/>
    <mergeCell ref="A22:B22"/>
    <mergeCell ref="A23:B23"/>
    <mergeCell ref="A28:B29"/>
    <mergeCell ref="C28:C29"/>
    <mergeCell ref="D28:D29"/>
    <mergeCell ref="A33:B33"/>
    <mergeCell ref="A34:B34"/>
    <mergeCell ref="A35:B35"/>
    <mergeCell ref="A26:B26"/>
    <mergeCell ref="J28:K28"/>
    <mergeCell ref="H28:I28"/>
    <mergeCell ref="A30:B30"/>
    <mergeCell ref="A31:B31"/>
    <mergeCell ref="A32:B32"/>
    <mergeCell ref="E28:E29"/>
    <mergeCell ref="F28:G28"/>
    <mergeCell ref="M24:N24"/>
    <mergeCell ref="A25:B25"/>
    <mergeCell ref="M25:N25"/>
    <mergeCell ref="R23:S23"/>
    <mergeCell ref="R24:S24"/>
    <mergeCell ref="R25:S25"/>
    <mergeCell ref="A24:B24"/>
    <mergeCell ref="M23:N23"/>
    <mergeCell ref="R22:S22"/>
    <mergeCell ref="A16:B16"/>
    <mergeCell ref="M16:N16"/>
    <mergeCell ref="A17:B17"/>
    <mergeCell ref="M17:N17"/>
    <mergeCell ref="A19:B20"/>
    <mergeCell ref="C19:C20"/>
    <mergeCell ref="D19:D20"/>
    <mergeCell ref="E19:E20"/>
    <mergeCell ref="F19:G19"/>
    <mergeCell ref="H19:I19"/>
    <mergeCell ref="M19:N20"/>
    <mergeCell ref="O19:O20"/>
    <mergeCell ref="M22:N22"/>
    <mergeCell ref="J19:K19"/>
    <mergeCell ref="A21:B21"/>
    <mergeCell ref="M14:N14"/>
    <mergeCell ref="A15:B15"/>
    <mergeCell ref="M15:N15"/>
    <mergeCell ref="A12:B13"/>
    <mergeCell ref="C12:C13"/>
    <mergeCell ref="D12:D13"/>
    <mergeCell ref="E12:E13"/>
    <mergeCell ref="F12:G12"/>
    <mergeCell ref="H12:I12"/>
    <mergeCell ref="J12:K12"/>
    <mergeCell ref="A14:B14"/>
    <mergeCell ref="V12:W12"/>
    <mergeCell ref="A9:B9"/>
    <mergeCell ref="M9:N9"/>
    <mergeCell ref="A10:B10"/>
    <mergeCell ref="M10:N10"/>
    <mergeCell ref="M12:N13"/>
    <mergeCell ref="O12:O13"/>
    <mergeCell ref="P12:P13"/>
    <mergeCell ref="Q12:Q13"/>
    <mergeCell ref="R12:S12"/>
    <mergeCell ref="T12:U12"/>
    <mergeCell ref="A8:B8"/>
    <mergeCell ref="M8:N8"/>
    <mergeCell ref="M4:N5"/>
    <mergeCell ref="O4:O5"/>
    <mergeCell ref="P4:P5"/>
    <mergeCell ref="A6:B6"/>
    <mergeCell ref="M6:N6"/>
    <mergeCell ref="A7:B7"/>
    <mergeCell ref="M7:N7"/>
    <mergeCell ref="A1:W1"/>
    <mergeCell ref="A2:G2"/>
    <mergeCell ref="H2:L2"/>
    <mergeCell ref="A4:B5"/>
    <mergeCell ref="C4:C5"/>
    <mergeCell ref="D4:D5"/>
    <mergeCell ref="E4:E5"/>
    <mergeCell ref="F4:G4"/>
    <mergeCell ref="H4:I4"/>
    <mergeCell ref="J4:K4"/>
    <mergeCell ref="V4:W4"/>
    <mergeCell ref="Q4:Q5"/>
    <mergeCell ref="R4:S4"/>
    <mergeCell ref="T4:U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General</vt:lpstr>
      <vt:lpstr>Skills</vt:lpstr>
      <vt:lpstr>Feats</vt:lpstr>
      <vt:lpstr>Equipment</vt:lpstr>
      <vt:lpstr>Abilities and Languages</vt:lpstr>
      <vt:lpstr>Combat Powers</vt:lpstr>
      <vt:lpstr>Biotic Powers</vt:lpstr>
      <vt:lpstr>Tech Powers</vt:lpstr>
      <vt:lpstr>Ammo Powers</vt:lpstr>
      <vt:lpstr>Vehicle-Ship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</dc:creator>
  <cp:lastModifiedBy>Joao</cp:lastModifiedBy>
  <dcterms:created xsi:type="dcterms:W3CDTF">2010-11-27T14:46:49Z</dcterms:created>
  <dcterms:modified xsi:type="dcterms:W3CDTF">2019-02-10T10:24:48Z</dcterms:modified>
</cp:coreProperties>
</file>